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autoCompressPictures="0" defaultThemeVersion="124226"/>
  <mc:AlternateContent xmlns:mc="http://schemas.openxmlformats.org/markup-compatibility/2006">
    <mc:Choice Requires="x15">
      <x15ac:absPath xmlns:x15ac="http://schemas.microsoft.com/office/spreadsheetml/2010/11/ac" url="J:\I_Invoicing Team\I_Brad\Job Aid Endeavor - May 2025\"/>
    </mc:Choice>
  </mc:AlternateContent>
  <xr:revisionPtr revIDLastSave="0" documentId="8_{40BAE28F-5F3E-4823-ADD0-1D2664872FE7}" xr6:coauthVersionLast="47" xr6:coauthVersionMax="47" xr10:uidLastSave="{00000000-0000-0000-0000-000000000000}"/>
  <bookViews>
    <workbookView xWindow="28680" yWindow="-120" windowWidth="29040" windowHeight="15720" tabRatio="751" xr2:uid="{00000000-000D-0000-FFFF-FFFF00000000}"/>
  </bookViews>
  <sheets>
    <sheet name="CY Academic Estimate" sheetId="3" r:id="rId1"/>
    <sheet name="CY Academic Salary Known" sheetId="10" r:id="rId2"/>
    <sheet name="CY 12mos Employee Estimate" sheetId="11" r:id="rId3"/>
    <sheet name="CY 12mos Employee Salary Known"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4" i="9" l="1"/>
  <c r="B54" i="11"/>
  <c r="B55" i="10"/>
  <c r="B55" i="3"/>
  <c r="D29" i="3" l="1"/>
  <c r="D24" i="3"/>
  <c r="D29" i="10"/>
  <c r="D24" i="10"/>
  <c r="F20" i="3" l="1"/>
  <c r="F31" i="3" l="1"/>
  <c r="F30" i="3"/>
  <c r="F29" i="3"/>
  <c r="F34" i="9" l="1"/>
  <c r="F33" i="9"/>
  <c r="F32" i="9"/>
  <c r="F31" i="9"/>
  <c r="F30" i="9"/>
  <c r="F35" i="9"/>
  <c r="F29" i="9"/>
  <c r="F28" i="9"/>
  <c r="F27" i="9"/>
  <c r="F26" i="9"/>
  <c r="F25" i="9"/>
  <c r="F24" i="9"/>
  <c r="D38" i="10"/>
  <c r="D38" i="3"/>
  <c r="E37" i="9"/>
  <c r="D37" i="9"/>
  <c r="I20" i="9"/>
  <c r="I35" i="9" s="1"/>
  <c r="F36" i="10"/>
  <c r="F35" i="10"/>
  <c r="F34" i="10"/>
  <c r="F33" i="10"/>
  <c r="F32" i="10"/>
  <c r="F28" i="10"/>
  <c r="F30" i="10" s="1"/>
  <c r="F27" i="10"/>
  <c r="F26" i="10"/>
  <c r="F25" i="10"/>
  <c r="F24" i="10"/>
  <c r="E38" i="10"/>
  <c r="I20" i="10"/>
  <c r="J20" i="10" s="1"/>
  <c r="I35" i="10" l="1"/>
  <c r="G35" i="10" s="1"/>
  <c r="I27" i="10"/>
  <c r="I34" i="10"/>
  <c r="G34" i="10" s="1"/>
  <c r="I26" i="10"/>
  <c r="J26" i="10" s="1"/>
  <c r="I33" i="10"/>
  <c r="G33" i="10" s="1"/>
  <c r="I25" i="10"/>
  <c r="J25" i="10" s="1"/>
  <c r="I32" i="10"/>
  <c r="J32" i="10" s="1"/>
  <c r="I24" i="10"/>
  <c r="G24" i="10" s="1"/>
  <c r="I36" i="10"/>
  <c r="I28" i="10"/>
  <c r="K20" i="10"/>
  <c r="F29" i="10"/>
  <c r="F31" i="10"/>
  <c r="H31" i="10" s="1"/>
  <c r="J35" i="9"/>
  <c r="H35" i="9"/>
  <c r="G35" i="9"/>
  <c r="K35" i="9" s="1"/>
  <c r="I24" i="9"/>
  <c r="I25" i="9"/>
  <c r="I26" i="9"/>
  <c r="I27" i="9"/>
  <c r="I28" i="9"/>
  <c r="I29" i="9"/>
  <c r="I30" i="9"/>
  <c r="I31" i="9"/>
  <c r="I32" i="9"/>
  <c r="I33" i="9"/>
  <c r="I34" i="9"/>
  <c r="H26" i="10"/>
  <c r="H27" i="10"/>
  <c r="H28" i="10"/>
  <c r="H36" i="10"/>
  <c r="H33" i="10"/>
  <c r="J33" i="10" l="1"/>
  <c r="J24" i="10"/>
  <c r="I29" i="10"/>
  <c r="I31" i="10"/>
  <c r="J31" i="10" s="1"/>
  <c r="I30" i="10"/>
  <c r="G31" i="9"/>
  <c r="K31" i="9" s="1"/>
  <c r="J31" i="9"/>
  <c r="H31" i="9"/>
  <c r="J30" i="9"/>
  <c r="G30" i="9"/>
  <c r="K30" i="9" s="1"/>
  <c r="H30" i="9"/>
  <c r="I37" i="9"/>
  <c r="J34" i="9"/>
  <c r="H34" i="9"/>
  <c r="G34" i="9"/>
  <c r="K34" i="9" s="1"/>
  <c r="J26" i="9"/>
  <c r="H26" i="9"/>
  <c r="G26" i="9"/>
  <c r="K26" i="9" s="1"/>
  <c r="J29" i="9"/>
  <c r="H29" i="9"/>
  <c r="G29" i="9"/>
  <c r="K29" i="9" s="1"/>
  <c r="G28" i="9"/>
  <c r="K28" i="9" s="1"/>
  <c r="J28" i="9"/>
  <c r="H28" i="9"/>
  <c r="J33" i="9"/>
  <c r="H33" i="9"/>
  <c r="G33" i="9"/>
  <c r="K33" i="9" s="1"/>
  <c r="J25" i="9"/>
  <c r="G25" i="9"/>
  <c r="K25" i="9" s="1"/>
  <c r="H25" i="9"/>
  <c r="G27" i="9"/>
  <c r="K27" i="9" s="1"/>
  <c r="J27" i="9"/>
  <c r="H27" i="9"/>
  <c r="J32" i="9"/>
  <c r="H32" i="9"/>
  <c r="G32" i="9"/>
  <c r="K32" i="9" s="1"/>
  <c r="J24" i="9"/>
  <c r="G24" i="9"/>
  <c r="K24" i="9" s="1"/>
  <c r="F37" i="9"/>
  <c r="H24" i="9"/>
  <c r="G27" i="10"/>
  <c r="H30" i="10"/>
  <c r="G25" i="10"/>
  <c r="H25" i="10"/>
  <c r="H34" i="10"/>
  <c r="G26" i="10"/>
  <c r="J34" i="10"/>
  <c r="H24" i="10"/>
  <c r="J35" i="10"/>
  <c r="F38" i="10"/>
  <c r="H29" i="10"/>
  <c r="H35" i="10"/>
  <c r="J27" i="10"/>
  <c r="G36" i="10"/>
  <c r="J36" i="10"/>
  <c r="J28" i="10"/>
  <c r="G32" i="10"/>
  <c r="H32" i="10"/>
  <c r="G28" i="10"/>
  <c r="I38" i="10" l="1"/>
  <c r="G38" i="10" s="1"/>
  <c r="L38" i="10" s="1"/>
  <c r="J30" i="10"/>
  <c r="G29" i="10"/>
  <c r="J29" i="10"/>
  <c r="G37" i="9"/>
  <c r="N37" i="9" s="1"/>
  <c r="G30" i="10"/>
  <c r="G31" i="10"/>
  <c r="K37" i="9"/>
  <c r="J37" i="9"/>
  <c r="M37" i="9" s="1"/>
  <c r="J38" i="10" l="1"/>
  <c r="K38" i="10" s="1"/>
  <c r="I20" i="11"/>
  <c r="I30" i="11" s="1"/>
  <c r="E37" i="11"/>
  <c r="F20" i="11"/>
  <c r="F29" i="11" s="1"/>
  <c r="H29" i="11" s="1"/>
  <c r="F30" i="11" l="1"/>
  <c r="H30" i="11" s="1"/>
  <c r="F31" i="11"/>
  <c r="H31" i="11" s="1"/>
  <c r="F24" i="11"/>
  <c r="F32" i="11"/>
  <c r="F25" i="11"/>
  <c r="H25" i="11" s="1"/>
  <c r="F33" i="11"/>
  <c r="F26" i="11"/>
  <c r="H26" i="11" s="1"/>
  <c r="F34" i="11"/>
  <c r="F27" i="11"/>
  <c r="H27" i="11" s="1"/>
  <c r="F35" i="11"/>
  <c r="F28" i="11"/>
  <c r="H28" i="11" s="1"/>
  <c r="I24" i="11"/>
  <c r="I31" i="11"/>
  <c r="I29" i="11"/>
  <c r="J29" i="11" s="1"/>
  <c r="I35" i="11"/>
  <c r="I34" i="11"/>
  <c r="I33" i="11"/>
  <c r="I32" i="11"/>
  <c r="I28" i="11"/>
  <c r="I27" i="11"/>
  <c r="I26" i="11"/>
  <c r="I25" i="11"/>
  <c r="D37" i="11"/>
  <c r="J24" i="11" l="1"/>
  <c r="J25" i="11"/>
  <c r="J26" i="11"/>
  <c r="G30" i="11"/>
  <c r="K30" i="11" s="1"/>
  <c r="J30" i="11"/>
  <c r="G28" i="11"/>
  <c r="K28" i="11" s="1"/>
  <c r="G24" i="11"/>
  <c r="K24" i="11" s="1"/>
  <c r="G27" i="11"/>
  <c r="K27" i="11" s="1"/>
  <c r="G31" i="11"/>
  <c r="K31" i="11" s="1"/>
  <c r="H24" i="11"/>
  <c r="F37" i="11"/>
  <c r="J28" i="11"/>
  <c r="J27" i="11"/>
  <c r="G29" i="11"/>
  <c r="K29" i="11" s="1"/>
  <c r="J31" i="11"/>
  <c r="G25" i="11"/>
  <c r="K25" i="11" s="1"/>
  <c r="J32" i="11"/>
  <c r="H32" i="11"/>
  <c r="G32" i="11"/>
  <c r="K32" i="11" s="1"/>
  <c r="J34" i="11"/>
  <c r="H34" i="11"/>
  <c r="G34" i="11"/>
  <c r="K34" i="11" s="1"/>
  <c r="G26" i="11"/>
  <c r="K26" i="11" s="1"/>
  <c r="J35" i="11"/>
  <c r="H35" i="11"/>
  <c r="G35" i="11"/>
  <c r="K35" i="11" s="1"/>
  <c r="J33" i="11"/>
  <c r="H33" i="11"/>
  <c r="G33" i="11"/>
  <c r="K33" i="11" s="1"/>
  <c r="J37" i="11" l="1"/>
  <c r="I37" i="11"/>
  <c r="M37" i="11" l="1"/>
  <c r="G37" i="11"/>
  <c r="N37" i="11" s="1"/>
  <c r="K37" i="11"/>
  <c r="F28" i="3" l="1"/>
  <c r="F24" i="3"/>
  <c r="F25" i="3"/>
  <c r="F26" i="3"/>
  <c r="F27" i="3"/>
  <c r="F36" i="3"/>
  <c r="F35" i="3"/>
  <c r="F34" i="3"/>
  <c r="F33" i="3"/>
  <c r="F32" i="3"/>
  <c r="H32" i="3" l="1"/>
  <c r="H28" i="3"/>
  <c r="I20" i="3" l="1"/>
  <c r="J20" i="3" l="1"/>
  <c r="I28" i="3" s="1"/>
  <c r="G28" i="3" s="1"/>
  <c r="K20" i="3"/>
  <c r="I31" i="3" s="1"/>
  <c r="J31" i="3" s="1"/>
  <c r="H33" i="3"/>
  <c r="H24" i="3"/>
  <c r="H25" i="3"/>
  <c r="H26" i="3"/>
  <c r="H27" i="3"/>
  <c r="H34" i="3"/>
  <c r="H35" i="3"/>
  <c r="H36" i="3"/>
  <c r="H29" i="3"/>
  <c r="H30" i="3"/>
  <c r="H31" i="3"/>
  <c r="E38" i="3"/>
  <c r="F38" i="3"/>
  <c r="I32" i="3" l="1"/>
  <c r="G32" i="3" s="1"/>
  <c r="J28" i="3"/>
  <c r="I24" i="3"/>
  <c r="I25" i="3"/>
  <c r="G25" i="3" s="1"/>
  <c r="I36" i="3"/>
  <c r="I34" i="3"/>
  <c r="I33" i="3"/>
  <c r="G31" i="3"/>
  <c r="I30" i="3"/>
  <c r="J30" i="3" s="1"/>
  <c r="I27" i="3"/>
  <c r="I29" i="3"/>
  <c r="J29" i="3" s="1"/>
  <c r="I26" i="3"/>
  <c r="I35" i="3"/>
  <c r="J32" i="3" l="1"/>
  <c r="G36" i="3"/>
  <c r="J36" i="3"/>
  <c r="J24" i="3"/>
  <c r="G24" i="3"/>
  <c r="J25" i="3"/>
  <c r="G33" i="3"/>
  <c r="J33" i="3"/>
  <c r="J34" i="3"/>
  <c r="G34" i="3"/>
  <c r="I38" i="3"/>
  <c r="G38" i="3" s="1"/>
  <c r="G30" i="3"/>
  <c r="J26" i="3"/>
  <c r="G26" i="3"/>
  <c r="G29" i="3"/>
  <c r="G35" i="3"/>
  <c r="J35" i="3"/>
  <c r="J27" i="3"/>
  <c r="G27" i="3"/>
  <c r="L38" i="3" l="1"/>
  <c r="J38" i="3"/>
  <c r="K38" i="3" s="1"/>
</calcChain>
</file>

<file path=xl/sharedStrings.xml><?xml version="1.0" encoding="utf-8"?>
<sst xmlns="http://schemas.openxmlformats.org/spreadsheetml/2006/main" count="385" uniqueCount="108">
  <si>
    <t>% effort</t>
  </si>
  <si>
    <t>Total</t>
  </si>
  <si>
    <t>http://grants.nih.gov/grants/policy/salcap_summary.htm</t>
  </si>
  <si>
    <t>Key Personnel:</t>
  </si>
  <si>
    <t>««</t>
  </si>
  <si>
    <t>Hide column</t>
  </si>
  <si>
    <t>Amt. Remaining</t>
  </si>
  <si>
    <t>On Project</t>
  </si>
  <si>
    <t>Academic Year</t>
  </si>
  <si>
    <t>Academic Mo.</t>
  </si>
  <si>
    <t>Summer Mo.</t>
  </si>
  <si>
    <t>Summer 1</t>
  </si>
  <si>
    <t>Summer 2</t>
  </si>
  <si>
    <t>Summer 3</t>
  </si>
  <si>
    <t>% that can stay</t>
  </si>
  <si>
    <t>OTC at 100%</t>
  </si>
  <si>
    <t>effort</t>
  </si>
  <si>
    <t>CYAverage</t>
  </si>
  <si>
    <t>Estimated increase effective 8/1=</t>
  </si>
  <si>
    <t>Per Budget Sys</t>
  </si>
  <si>
    <t>Monthly Cap</t>
  </si>
  <si>
    <t>10 month</t>
  </si>
  <si>
    <t>12 month employee on different tab.</t>
  </si>
  <si>
    <t>Academic employee on different tab</t>
  </si>
  <si>
    <t>Academic</t>
  </si>
  <si>
    <t>Monthly amount</t>
  </si>
  <si>
    <t>"Per Budget Sys" column must be adjusted if Base Pay changes on other than 08/01 in the calendar year or less than 100% effort / months worked</t>
  </si>
  <si>
    <t>"Per Budget Sys" column must be adjusted if Base Pay changes on other than 07/01 in the calendar year or less than 100% effort / months worked</t>
  </si>
  <si>
    <t xml:space="preserve">Estimate OTC at </t>
  </si>
  <si>
    <t>100% effort</t>
  </si>
  <si>
    <t>Academic Employee (Pay Group 18F, Frequency C10)</t>
  </si>
  <si>
    <t>12 Month Employee  (Pay Group 18Y, Frequency M)</t>
  </si>
  <si>
    <t>=As of Jan 1st</t>
  </si>
  <si>
    <t>Move P/R from</t>
  </si>
  <si>
    <t>OTC Chartstring</t>
  </si>
  <si>
    <t>Federal Executive Level Pay Cap Calculation</t>
  </si>
  <si>
    <t>CY2025 =</t>
  </si>
  <si>
    <t>Dr. Dawg</t>
  </si>
  <si>
    <t>Dr. Uga</t>
  </si>
  <si>
    <t xml:space="preserve">Salary Cap </t>
  </si>
  <si>
    <t>Columns K and L will indicate if OTC funds are necessary. </t>
  </si>
  <si>
    <r>
      <t xml:space="preserve">Input only the blue shaded areas.  </t>
    </r>
    <r>
      <rPr>
        <b/>
        <i/>
        <sz val="11"/>
        <rFont val="Calibri"/>
        <family val="2"/>
        <scheme val="minor"/>
      </rPr>
      <t>Choose Academic or 12 month cycle</t>
    </r>
    <r>
      <rPr>
        <i/>
        <sz val="11"/>
        <rFont val="Calibri"/>
        <family val="2"/>
        <scheme val="minor"/>
      </rPr>
      <t xml:space="preserve">.  Pick </t>
    </r>
    <r>
      <rPr>
        <b/>
        <i/>
        <sz val="11"/>
        <rFont val="Calibri"/>
        <family val="2"/>
        <scheme val="minor"/>
      </rPr>
      <t>Estimate</t>
    </r>
    <r>
      <rPr>
        <i/>
        <sz val="11"/>
        <rFont val="Calibri"/>
        <family val="2"/>
        <scheme val="minor"/>
      </rPr>
      <t xml:space="preserve"> tab if raises are expected but amount has not been finalized.  Otherwise, pick </t>
    </r>
    <r>
      <rPr>
        <b/>
        <i/>
        <sz val="11"/>
        <rFont val="Calibri"/>
        <family val="2"/>
        <scheme val="minor"/>
      </rPr>
      <t>Salary known</t>
    </r>
    <r>
      <rPr>
        <i/>
        <sz val="11"/>
        <rFont val="Calibri"/>
        <family val="2"/>
        <scheme val="minor"/>
      </rPr>
      <t xml:space="preserve">   </t>
    </r>
  </si>
  <si>
    <t>Program codes may be found on the Chart of Accounts.  These segregate OTC from general cost share entries in the UGA Financial Management System (FMS): </t>
  </si>
  <si>
    <t>Most popular OTC chartstrings using Program codes above include: </t>
  </si>
  <si>
    <t xml:space="preserve">Fund </t>
  </si>
  <si>
    <t>Class </t>
  </si>
  <si>
    <t xml:space="preserve">10000  </t>
  </si>
  <si>
    <t xml:space="preserve">RI-State Appropriations </t>
  </si>
  <si>
    <t>11200 </t>
  </si>
  <si>
    <t>Description</t>
  </si>
  <si>
    <t xml:space="preserve">10500  </t>
  </si>
  <si>
    <t xml:space="preserve">Tuition </t>
  </si>
  <si>
    <t>11800 Tuition or 11805 RIAS </t>
  </si>
  <si>
    <t xml:space="preserve">Unit </t>
  </si>
  <si>
    <t xml:space="preserve">Project </t>
  </si>
  <si>
    <t xml:space="preserve">Activity </t>
  </si>
  <si>
    <t xml:space="preserve">Account </t>
  </si>
  <si>
    <t xml:space="preserve">Dept </t>
  </si>
  <si>
    <t xml:space="preserve">Class </t>
  </si>
  <si>
    <t>Program </t>
  </si>
  <si>
    <t>Amount</t>
  </si>
  <si>
    <t xml:space="preserve">RNIHX000153950A </t>
  </si>
  <si>
    <t xml:space="preserve">A00 </t>
  </si>
  <si>
    <t>12114 </t>
  </si>
  <si>
    <t>For Education Agreements </t>
  </si>
  <si>
    <t>for Research Agreements </t>
  </si>
  <si>
    <t>for Other Agreements </t>
  </si>
  <si>
    <t>Example of a valid OTC chartstring request: </t>
  </si>
  <si>
    <t>Do include appropriate staff benefits as they follow payroll distributions.</t>
  </si>
  <si>
    <t>Do not include IDC/F&amp;A in OTC budget requests.</t>
  </si>
  <si>
    <t>How to use this form:</t>
  </si>
  <si>
    <t>Note:  When processing OTC budget requests in Portal, do include associated benefits as they follow payroll distribution.  Do not include IDC/F&amp;A in OTC budget requests.</t>
  </si>
  <si>
    <t>Salary to be Charged</t>
  </si>
  <si>
    <t xml:space="preserve">Enter planned expenses to OTC chartstrings in column E.  </t>
  </si>
  <si>
    <t>Adjust amounts in columns D and E until amounts in columns K and L are zero or a negative number. </t>
  </si>
  <si>
    <t>Twelve lines are provided to match the anticipated calander year payroll distribution.</t>
  </si>
  <si>
    <t>Thirteen lines are provided to match the anticipated calander year payroll distribution for Academic Salary.</t>
  </si>
  <si>
    <t>Enter anticipated payroll (academic year versus summer month) to determine how much should be built into budget for the year, encumbered, and to be charged as either Direct expense to sponsor or true Cost Share in cells D24-D36.</t>
  </si>
  <si>
    <t>Enter anticipated payroll to determine how much should be built into budget for the year, encumbered, and to be charged as either Direct expense to sponsor or true Cost Share in cells D24-D35.   </t>
  </si>
  <si>
    <t>Project (as Direct or C/S)</t>
  </si>
  <si>
    <t>Max to Charge</t>
  </si>
  <si>
    <t>on Project</t>
  </si>
  <si>
    <t>Analysis Type</t>
  </si>
  <si>
    <t>CBU</t>
  </si>
  <si>
    <t>Ensure the correct Federal Executive Level Pay cap for current Calendar Year is entered in D17. </t>
  </si>
  <si>
    <t>Enter IBS effective with new FY in D20.</t>
  </si>
  <si>
    <t>Enter percent of estimated cost of living/merit or other pay increase effective the new FY in D20.</t>
  </si>
  <si>
    <t>Enter percent of estimated cost of living/merit or other pay increase in D20.  (Academic salary increases begin in August, which changes overall IBS for the calendar year.) </t>
  </si>
  <si>
    <t>Enter IBS effective with Fall Semester in D20.  (Academic salary increases begin in August, which changes overall IBS for the calendar year.) </t>
  </si>
  <si>
    <t xml:space="preserve">Sponsor acct to OTC </t>
  </si>
  <si>
    <t>*OR* Increase OTC</t>
  </si>
  <si>
    <t>from Non Sponsor Acct</t>
  </si>
  <si>
    <r>
      <rPr>
        <b/>
        <sz val="12"/>
        <color indexed="10"/>
        <rFont val="Wingdings"/>
        <charset val="2"/>
      </rPr>
      <t>««</t>
    </r>
    <r>
      <rPr>
        <b/>
        <sz val="12"/>
        <rFont val="Calibri"/>
        <family val="2"/>
        <scheme val="minor"/>
      </rPr>
      <t xml:space="preserve"> </t>
    </r>
    <r>
      <rPr>
        <b/>
        <sz val="11"/>
        <rFont val="Calibri"/>
        <family val="2"/>
        <scheme val="minor"/>
      </rPr>
      <t xml:space="preserve">Over the Cap Cost Share is an unallowable expense.  It must be readily itendifiable so it may be excluded from Project Expenses.  </t>
    </r>
  </si>
  <si>
    <t>*  Recheck OTC salary on "CY Academic Salary Known" tab after raises are posted and make adjustments.</t>
  </si>
  <si>
    <t>Reminder:  Once a pay increase is finalized, recheck using Salary Known tabs. *</t>
  </si>
  <si>
    <t>Reminder:  Once a pay increase is finalized, recheck using Salary Known tabs.  *</t>
  </si>
  <si>
    <t>* Recheck OTC salary on "CY 12mos Employee Salary Known" tab after raises are posted and make adjustments.</t>
  </si>
  <si>
    <t>Blended rate =</t>
  </si>
  <si>
    <t>Increased salary effective 08/01 =</t>
  </si>
  <si>
    <t>Increased salary effective 07/01 =</t>
  </si>
  <si>
    <t>Estimated increase effective 7/1 =</t>
  </si>
  <si>
    <t>Budget System Salary (IBS) =</t>
  </si>
  <si>
    <t>Salary in Budget System (IBS) =</t>
  </si>
  <si>
    <t>Enter current Institutional Base Salary (IBS) in D19. </t>
  </si>
  <si>
    <t xml:space="preserve">Enter totals by month OR Use lines for different accounts in D24-E35.  Lump sum entries also work.  </t>
  </si>
  <si>
    <t xml:space="preserve">Enter totals by month OR Use lines for different accounts in D24-E36.  Lump sum entries also work.  </t>
  </si>
  <si>
    <t xml:space="preserve">                 Adjust cells D24-E35 till M37 &amp; N37 are zero or negative</t>
  </si>
  <si>
    <t xml:space="preserve">                 Adjust cells D24-E36 till M38 &amp; N38 are zero or negative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</si>
</sst>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
    <numFmt numFmtId="166" formatCode="[$-409]mmm\-yy;@"/>
    <numFmt numFmtId="167" formatCode="#,##0.00000_);\(#,##0.00000\)"/>
    <numFmt numFmtId="168" formatCode="#,##0.0000_);[Red]\(#,##0.0000\)"/>
    <numFmt numFmtId="169" formatCode="0.0%"/>
  </numFmts>
  <fonts count="19">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8"/>
      <name val="Calibri"/>
      <family val="2"/>
      <scheme val="minor"/>
    </font>
    <font>
      <i/>
      <sz val="11"/>
      <name val="Calibri"/>
      <family val="2"/>
      <scheme val="minor"/>
    </font>
    <font>
      <sz val="8"/>
      <name val="Verdana"/>
      <family val="2"/>
    </font>
    <font>
      <sz val="11"/>
      <name val="Calibri"/>
      <family val="2"/>
    </font>
    <font>
      <b/>
      <sz val="11"/>
      <color rgb="FFFF0000"/>
      <name val="Calibri"/>
      <family val="2"/>
      <scheme val="minor"/>
    </font>
    <font>
      <b/>
      <sz val="12"/>
      <name val="Calibri"/>
      <family val="2"/>
      <scheme val="minor"/>
    </font>
    <font>
      <b/>
      <sz val="11"/>
      <color indexed="10"/>
      <name val="Wingdings"/>
      <charset val="2"/>
    </font>
    <font>
      <b/>
      <sz val="12"/>
      <color indexed="10"/>
      <name val="Wingdings"/>
      <charset val="2"/>
    </font>
    <font>
      <b/>
      <sz val="11"/>
      <color rgb="FFA50021"/>
      <name val="Calibri"/>
      <family val="2"/>
      <scheme val="minor"/>
    </font>
    <font>
      <sz val="12"/>
      <name val="Calibri"/>
      <family val="2"/>
    </font>
    <font>
      <b/>
      <i/>
      <sz val="11"/>
      <name val="Calibri"/>
      <family val="2"/>
      <scheme val="minor"/>
    </font>
    <font>
      <sz val="11"/>
      <color rgb="FFFF0000"/>
      <name val="Calibri"/>
      <family val="2"/>
      <scheme val="minor"/>
    </font>
    <font>
      <sz val="11"/>
      <color rgb="FFA50021"/>
      <name val="Calibri"/>
      <family val="2"/>
      <scheme val="minor"/>
    </font>
    <font>
      <sz val="10"/>
      <color rgb="FFFF0000"/>
      <name val="Calibri"/>
      <family val="2"/>
      <scheme val="minor"/>
    </font>
    <font>
      <b/>
      <sz val="11"/>
      <name val="Calibri"/>
      <family val="2"/>
      <charset val="2"/>
      <scheme val="minor"/>
    </font>
  </fonts>
  <fills count="10">
    <fill>
      <patternFill patternType="none"/>
    </fill>
    <fill>
      <patternFill patternType="gray125"/>
    </fill>
    <fill>
      <patternFill patternType="solid">
        <fgColor theme="3" tint="0.79998168889431442"/>
        <bgColor indexed="64"/>
      </patternFill>
    </fill>
    <fill>
      <patternFill patternType="solid">
        <fgColor rgb="FFC5D9F1"/>
        <bgColor indexed="64"/>
      </patternFill>
    </fill>
    <fill>
      <patternFill patternType="solid">
        <fgColor rgb="FFCCFFCC"/>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E4DFEC"/>
        <bgColor indexed="64"/>
      </patternFill>
    </fill>
    <fill>
      <patternFill patternType="solid">
        <fgColor rgb="FFFFFFFF"/>
        <bgColor indexed="64"/>
      </patternFill>
    </fill>
  </fills>
  <borders count="24">
    <border>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136">
    <xf numFmtId="0" fontId="0" fillId="0" borderId="0" xfId="0"/>
    <xf numFmtId="0" fontId="3" fillId="0" borderId="0" xfId="0" applyFont="1"/>
    <xf numFmtId="0" fontId="4" fillId="0" borderId="0" xfId="0" applyFont="1"/>
    <xf numFmtId="166" fontId="3" fillId="0" borderId="7" xfId="0" applyNumberFormat="1" applyFont="1" applyBorder="1"/>
    <xf numFmtId="0" fontId="3" fillId="0" borderId="4" xfId="0" applyFont="1" applyBorder="1"/>
    <xf numFmtId="0" fontId="3" fillId="0" borderId="4" xfId="0" applyFont="1" applyFill="1" applyBorder="1"/>
    <xf numFmtId="0" fontId="3" fillId="0" borderId="6" xfId="0" applyFont="1" applyBorder="1"/>
    <xf numFmtId="0" fontId="3" fillId="0" borderId="0" xfId="0" applyFont="1" applyBorder="1"/>
    <xf numFmtId="0" fontId="3" fillId="0" borderId="5" xfId="0" applyFont="1" applyBorder="1"/>
    <xf numFmtId="0" fontId="3" fillId="0" borderId="2" xfId="0" applyFont="1" applyBorder="1"/>
    <xf numFmtId="0" fontId="3" fillId="0" borderId="7" xfId="0" applyFont="1" applyBorder="1"/>
    <xf numFmtId="0" fontId="3" fillId="0" borderId="0" xfId="0" applyFont="1" applyBorder="1" applyAlignment="1">
      <alignment horizontal="center"/>
    </xf>
    <xf numFmtId="0" fontId="3" fillId="0" borderId="0" xfId="0" applyFont="1" applyBorder="1" applyAlignment="1">
      <alignment horizontal="right"/>
    </xf>
    <xf numFmtId="14" fontId="3" fillId="0" borderId="0" xfId="0" applyNumberFormat="1" applyFont="1" applyBorder="1" applyAlignment="1">
      <alignment horizontal="center"/>
    </xf>
    <xf numFmtId="164" fontId="3" fillId="0" borderId="0" xfId="1" applyNumberFormat="1" applyFont="1" applyBorder="1"/>
    <xf numFmtId="0" fontId="3" fillId="0" borderId="1" xfId="0" applyFont="1" applyBorder="1" applyAlignment="1">
      <alignment horizontal="right"/>
    </xf>
    <xf numFmtId="43" fontId="3" fillId="0" borderId="0" xfId="1" applyFont="1" applyFill="1" applyBorder="1"/>
    <xf numFmtId="165" fontId="3" fillId="0" borderId="0" xfId="1" applyNumberFormat="1" applyFont="1" applyBorder="1"/>
    <xf numFmtId="164" fontId="3" fillId="0" borderId="1" xfId="1" applyNumberFormat="1" applyFont="1" applyBorder="1"/>
    <xf numFmtId="40" fontId="2" fillId="4" borderId="10" xfId="0" applyNumberFormat="1" applyFont="1" applyFill="1" applyBorder="1" applyAlignment="1">
      <alignment horizontal="centerContinuous"/>
    </xf>
    <xf numFmtId="40" fontId="2" fillId="4" borderId="11" xfId="0" applyNumberFormat="1" applyFont="1" applyFill="1" applyBorder="1" applyAlignment="1">
      <alignment horizontal="center"/>
    </xf>
    <xf numFmtId="40" fontId="2" fillId="4" borderId="12" xfId="0" applyNumberFormat="1" applyFont="1" applyFill="1" applyBorder="1"/>
    <xf numFmtId="164" fontId="2" fillId="4" borderId="12" xfId="0" applyNumberFormat="1" applyFont="1" applyFill="1" applyBorder="1"/>
    <xf numFmtId="0" fontId="3" fillId="0" borderId="13" xfId="0" applyFont="1" applyBorder="1"/>
    <xf numFmtId="0" fontId="3" fillId="0" borderId="14" xfId="0" applyFont="1" applyBorder="1"/>
    <xf numFmtId="40" fontId="2" fillId="5" borderId="15" xfId="0" applyNumberFormat="1" applyFont="1" applyFill="1" applyBorder="1" applyAlignment="1">
      <alignment horizontal="centerContinuous"/>
    </xf>
    <xf numFmtId="40" fontId="2" fillId="5" borderId="16" xfId="0" applyNumberFormat="1" applyFont="1" applyFill="1" applyBorder="1" applyAlignment="1">
      <alignment horizontal="center"/>
    </xf>
    <xf numFmtId="40" fontId="2" fillId="5" borderId="17" xfId="0" applyNumberFormat="1" applyFont="1" applyFill="1" applyBorder="1"/>
    <xf numFmtId="164" fontId="2" fillId="5" borderId="17" xfId="0" applyNumberFormat="1" applyFont="1" applyFill="1" applyBorder="1"/>
    <xf numFmtId="0" fontId="3" fillId="0" borderId="20" xfId="0" applyFont="1" applyBorder="1"/>
    <xf numFmtId="0" fontId="7" fillId="0" borderId="0" xfId="0" applyFont="1" applyBorder="1" applyAlignment="1">
      <alignment horizontal="right"/>
    </xf>
    <xf numFmtId="0" fontId="3" fillId="0" borderId="21" xfId="0" applyFont="1" applyBorder="1"/>
    <xf numFmtId="0" fontId="2" fillId="0" borderId="0" xfId="0" applyFont="1"/>
    <xf numFmtId="0" fontId="3" fillId="0" borderId="0" xfId="0" applyFont="1"/>
    <xf numFmtId="0" fontId="4" fillId="0" borderId="0" xfId="0" applyFont="1"/>
    <xf numFmtId="0" fontId="5" fillId="0" borderId="0" xfId="0" applyFont="1"/>
    <xf numFmtId="0" fontId="3" fillId="0" borderId="4" xfId="0" applyFont="1" applyBorder="1"/>
    <xf numFmtId="14" fontId="3" fillId="0" borderId="4" xfId="0" applyNumberFormat="1" applyFont="1" applyBorder="1"/>
    <xf numFmtId="0" fontId="3" fillId="0" borderId="4" xfId="0" applyFont="1" applyFill="1" applyBorder="1"/>
    <xf numFmtId="0" fontId="3" fillId="0" borderId="6" xfId="0" applyFont="1" applyBorder="1"/>
    <xf numFmtId="0" fontId="3" fillId="0" borderId="0" xfId="0" applyFont="1" applyBorder="1"/>
    <xf numFmtId="0" fontId="3" fillId="0" borderId="5" xfId="0" applyFont="1" applyBorder="1"/>
    <xf numFmtId="0" fontId="3" fillId="0" borderId="2" xfId="0" applyFont="1" applyBorder="1"/>
    <xf numFmtId="0" fontId="3" fillId="0" borderId="2" xfId="0" applyFont="1" applyBorder="1" applyAlignment="1">
      <alignment horizontal="center"/>
    </xf>
    <xf numFmtId="0" fontId="3" fillId="0" borderId="2" xfId="0" applyFont="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alignment horizontal="left"/>
    </xf>
    <xf numFmtId="14" fontId="3" fillId="0" borderId="0" xfId="0" applyNumberFormat="1" applyFont="1" applyBorder="1" applyAlignment="1">
      <alignment horizontal="center"/>
    </xf>
    <xf numFmtId="164" fontId="3" fillId="0" borderId="0" xfId="1" applyNumberFormat="1" applyFont="1" applyBorder="1"/>
    <xf numFmtId="0" fontId="3" fillId="0" borderId="1" xfId="0" applyFont="1" applyBorder="1" applyAlignment="1">
      <alignment horizontal="right"/>
    </xf>
    <xf numFmtId="0" fontId="3" fillId="0" borderId="1" xfId="0" applyFont="1" applyBorder="1" applyAlignment="1">
      <alignment horizontal="center"/>
    </xf>
    <xf numFmtId="43" fontId="3" fillId="0" borderId="0" xfId="1" applyFont="1" applyBorder="1"/>
    <xf numFmtId="43" fontId="3" fillId="0" borderId="0" xfId="1" applyFont="1" applyFill="1" applyBorder="1"/>
    <xf numFmtId="165" fontId="3" fillId="0" borderId="0" xfId="1" applyNumberFormat="1" applyFont="1" applyBorder="1"/>
    <xf numFmtId="43" fontId="3" fillId="0" borderId="0" xfId="1" applyNumberFormat="1" applyFont="1" applyBorder="1"/>
    <xf numFmtId="40" fontId="3" fillId="3" borderId="0" xfId="0" applyNumberFormat="1" applyFont="1" applyFill="1" applyBorder="1"/>
    <xf numFmtId="164" fontId="3" fillId="0" borderId="1" xfId="1" applyNumberFormat="1" applyFont="1" applyBorder="1"/>
    <xf numFmtId="0" fontId="3" fillId="0" borderId="8" xfId="0" applyFont="1" applyBorder="1"/>
    <xf numFmtId="164" fontId="3" fillId="0" borderId="8" xfId="1" applyNumberFormat="1" applyFont="1" applyBorder="1"/>
    <xf numFmtId="165" fontId="3" fillId="0" borderId="8" xfId="1" applyNumberFormat="1" applyFont="1" applyBorder="1"/>
    <xf numFmtId="164" fontId="2" fillId="0" borderId="8" xfId="1" applyNumberFormat="1" applyFont="1" applyBorder="1"/>
    <xf numFmtId="40" fontId="2" fillId="4" borderId="10" xfId="0" applyNumberFormat="1" applyFont="1" applyFill="1" applyBorder="1" applyAlignment="1">
      <alignment horizontal="centerContinuous"/>
    </xf>
    <xf numFmtId="40" fontId="2" fillId="4" borderId="11" xfId="0" applyNumberFormat="1" applyFont="1" applyFill="1" applyBorder="1" applyAlignment="1">
      <alignment horizontal="center"/>
    </xf>
    <xf numFmtId="40" fontId="2" fillId="4" borderId="12" xfId="0" applyNumberFormat="1" applyFont="1" applyFill="1" applyBorder="1"/>
    <xf numFmtId="164" fontId="2" fillId="4" borderId="12" xfId="0" applyNumberFormat="1" applyFont="1" applyFill="1" applyBorder="1"/>
    <xf numFmtId="164" fontId="2" fillId="0" borderId="8" xfId="0" applyNumberFormat="1" applyFont="1" applyFill="1" applyBorder="1"/>
    <xf numFmtId="40" fontId="2" fillId="0" borderId="22" xfId="0" applyNumberFormat="1" applyFont="1" applyBorder="1"/>
    <xf numFmtId="0" fontId="10" fillId="0" borderId="0" xfId="0" applyFont="1"/>
    <xf numFmtId="164" fontId="11" fillId="0" borderId="0" xfId="1" applyNumberFormat="1" applyFont="1" applyBorder="1" applyAlignment="1">
      <alignment horizontal="center"/>
    </xf>
    <xf numFmtId="14" fontId="3" fillId="0" borderId="0" xfId="0" applyNumberFormat="1" applyFont="1" applyBorder="1"/>
    <xf numFmtId="43" fontId="3" fillId="0" borderId="0" xfId="1" applyFont="1" applyBorder="1" applyAlignment="1">
      <alignment horizontal="center"/>
    </xf>
    <xf numFmtId="40" fontId="3" fillId="0" borderId="0" xfId="0" applyNumberFormat="1" applyFont="1" applyBorder="1" applyAlignment="1">
      <alignment horizontal="right"/>
    </xf>
    <xf numFmtId="0" fontId="2" fillId="6" borderId="2" xfId="0" applyFont="1" applyFill="1" applyBorder="1" applyAlignment="1">
      <alignment horizontal="center"/>
    </xf>
    <xf numFmtId="0" fontId="3" fillId="6" borderId="1" xfId="0" applyFont="1" applyFill="1" applyBorder="1" applyAlignment="1">
      <alignment horizontal="center" vertical="center"/>
    </xf>
    <xf numFmtId="0" fontId="3" fillId="6" borderId="1" xfId="0" applyFont="1" applyFill="1" applyBorder="1" applyAlignment="1">
      <alignment horizontal="right"/>
    </xf>
    <xf numFmtId="164" fontId="3" fillId="6" borderId="0" xfId="1" applyNumberFormat="1" applyFont="1" applyFill="1" applyBorder="1"/>
    <xf numFmtId="10" fontId="3" fillId="6" borderId="0" xfId="1" applyNumberFormat="1" applyFont="1" applyFill="1" applyBorder="1"/>
    <xf numFmtId="165" fontId="3" fillId="6" borderId="0" xfId="1" applyNumberFormat="1" applyFont="1" applyFill="1" applyBorder="1"/>
    <xf numFmtId="0" fontId="3" fillId="0" borderId="1" xfId="0" applyFont="1" applyFill="1" applyBorder="1" applyAlignment="1">
      <alignment horizontal="center"/>
    </xf>
    <xf numFmtId="164" fontId="3" fillId="0" borderId="0" xfId="1" applyNumberFormat="1" applyFont="1" applyFill="1" applyBorder="1"/>
    <xf numFmtId="0" fontId="3" fillId="0" borderId="2" xfId="0" applyFont="1" applyFill="1" applyBorder="1" applyAlignment="1">
      <alignment horizontal="center"/>
    </xf>
    <xf numFmtId="166" fontId="12" fillId="0" borderId="7" xfId="0" applyNumberFormat="1" applyFont="1" applyBorder="1"/>
    <xf numFmtId="39" fontId="3" fillId="0" borderId="0" xfId="1" applyNumberFormat="1" applyFont="1" applyFill="1" applyBorder="1"/>
    <xf numFmtId="43" fontId="3" fillId="0" borderId="0" xfId="0" applyNumberFormat="1" applyFont="1"/>
    <xf numFmtId="167" fontId="3" fillId="0" borderId="0" xfId="0" applyNumberFormat="1" applyFont="1"/>
    <xf numFmtId="168" fontId="3" fillId="0" borderId="0" xfId="0" applyNumberFormat="1" applyFont="1"/>
    <xf numFmtId="43" fontId="3" fillId="7" borderId="0" xfId="1" applyFont="1" applyFill="1" applyBorder="1"/>
    <xf numFmtId="164" fontId="2" fillId="5" borderId="14" xfId="0" applyNumberFormat="1" applyFont="1" applyFill="1" applyBorder="1"/>
    <xf numFmtId="0" fontId="3" fillId="0" borderId="7" xfId="0" applyFont="1" applyBorder="1"/>
    <xf numFmtId="43" fontId="3" fillId="0" borderId="0" xfId="1" applyNumberFormat="1" applyFont="1" applyBorder="1"/>
    <xf numFmtId="164" fontId="3" fillId="0" borderId="0" xfId="0" applyNumberFormat="1" applyFont="1"/>
    <xf numFmtId="0" fontId="13" fillId="3" borderId="7" xfId="0" applyFont="1" applyFill="1" applyBorder="1"/>
    <xf numFmtId="43" fontId="2" fillId="4" borderId="12" xfId="0" applyNumberFormat="1" applyFont="1" applyFill="1" applyBorder="1"/>
    <xf numFmtId="43" fontId="2" fillId="5" borderId="14" xfId="0" applyNumberFormat="1" applyFont="1" applyFill="1" applyBorder="1"/>
    <xf numFmtId="43" fontId="3" fillId="8" borderId="0" xfId="1" applyFont="1" applyFill="1" applyBorder="1"/>
    <xf numFmtId="164" fontId="3" fillId="8" borderId="0" xfId="1" applyNumberFormat="1" applyFont="1" applyFill="1" applyBorder="1"/>
    <xf numFmtId="39" fontId="3" fillId="0" borderId="0" xfId="1" applyNumberFormat="1" applyFont="1" applyBorder="1"/>
    <xf numFmtId="39" fontId="3" fillId="0" borderId="2" xfId="1" applyNumberFormat="1" applyFont="1" applyBorder="1"/>
    <xf numFmtId="40" fontId="3" fillId="3" borderId="0" xfId="0" applyNumberFormat="1" applyFont="1" applyFill="1" applyBorder="1" applyAlignment="1">
      <alignment horizontal="right"/>
    </xf>
    <xf numFmtId="164" fontId="3" fillId="0" borderId="1" xfId="0" applyNumberFormat="1" applyFont="1" applyBorder="1"/>
    <xf numFmtId="0" fontId="3" fillId="3" borderId="0" xfId="0" applyFont="1" applyFill="1" applyAlignment="1">
      <alignment horizontal="center"/>
    </xf>
    <xf numFmtId="164" fontId="2" fillId="2" borderId="0" xfId="1" applyNumberFormat="1" applyFont="1" applyFill="1" applyBorder="1"/>
    <xf numFmtId="169" fontId="2" fillId="2" borderId="0" xfId="0" applyNumberFormat="1" applyFont="1" applyFill="1"/>
    <xf numFmtId="40" fontId="2" fillId="3" borderId="0" xfId="0" applyNumberFormat="1" applyFont="1" applyFill="1" applyBorder="1" applyAlignment="1">
      <alignment horizontal="right"/>
    </xf>
    <xf numFmtId="164" fontId="2" fillId="0" borderId="20" xfId="0" applyNumberFormat="1" applyFont="1" applyFill="1" applyBorder="1"/>
    <xf numFmtId="39" fontId="2" fillId="5" borderId="18" xfId="0" applyNumberFormat="1" applyFont="1" applyFill="1" applyBorder="1"/>
    <xf numFmtId="43" fontId="2" fillId="4" borderId="9" xfId="0" applyNumberFormat="1" applyFont="1" applyFill="1" applyBorder="1"/>
    <xf numFmtId="0" fontId="3" fillId="0" borderId="0" xfId="0" applyFont="1" applyAlignment="1">
      <alignment horizontal="right"/>
    </xf>
    <xf numFmtId="0" fontId="8" fillId="0" borderId="0" xfId="0" applyFont="1"/>
    <xf numFmtId="0" fontId="8" fillId="0" borderId="3" xfId="0" applyFont="1" applyBorder="1"/>
    <xf numFmtId="164" fontId="8" fillId="0" borderId="8" xfId="0" applyNumberFormat="1" applyFont="1" applyFill="1" applyBorder="1"/>
    <xf numFmtId="0" fontId="15" fillId="0" borderId="19" xfId="0" applyFont="1" applyBorder="1"/>
    <xf numFmtId="40" fontId="3" fillId="0" borderId="0" xfId="0" applyNumberFormat="1" applyFont="1"/>
    <xf numFmtId="164" fontId="2" fillId="0" borderId="0" xfId="1" applyNumberFormat="1" applyFont="1" applyBorder="1"/>
    <xf numFmtId="43" fontId="2" fillId="0" borderId="0" xfId="1" applyNumberFormat="1" applyFont="1" applyBorder="1"/>
    <xf numFmtId="39" fontId="2" fillId="0" borderId="2" xfId="1" applyNumberFormat="1" applyFont="1" applyBorder="1"/>
    <xf numFmtId="166" fontId="12" fillId="9" borderId="7" xfId="0" applyNumberFormat="1" applyFont="1" applyFill="1" applyBorder="1"/>
    <xf numFmtId="14" fontId="16" fillId="0" borderId="0" xfId="0" applyNumberFormat="1" applyFont="1" applyBorder="1"/>
    <xf numFmtId="0" fontId="7" fillId="0" borderId="0" xfId="0" applyFont="1" applyFill="1" applyBorder="1" applyAlignment="1">
      <alignment horizontal="center"/>
    </xf>
    <xf numFmtId="0" fontId="3" fillId="0" borderId="0" xfId="0" applyFont="1" applyFill="1" applyBorder="1" applyAlignment="1">
      <alignment horizontal="center"/>
    </xf>
    <xf numFmtId="0" fontId="3" fillId="0" borderId="14" xfId="0" applyFont="1" applyFill="1" applyBorder="1"/>
    <xf numFmtId="14" fontId="3" fillId="0" borderId="0" xfId="0" applyNumberFormat="1" applyFont="1" applyFill="1" applyBorder="1" applyAlignment="1">
      <alignment horizontal="left"/>
    </xf>
    <xf numFmtId="14" fontId="3" fillId="0" borderId="0" xfId="0" applyNumberFormat="1" applyFont="1" applyFill="1" applyBorder="1" applyAlignment="1">
      <alignment horizontal="center"/>
    </xf>
    <xf numFmtId="0" fontId="3" fillId="0" borderId="0" xfId="0" applyFont="1" applyFill="1"/>
    <xf numFmtId="0" fontId="8" fillId="0" borderId="7" xfId="0" applyFont="1" applyBorder="1"/>
    <xf numFmtId="0" fontId="17" fillId="0" borderId="19" xfId="0" applyFont="1" applyBorder="1" applyAlignment="1">
      <alignment horizontal="left"/>
    </xf>
    <xf numFmtId="0" fontId="3" fillId="0" borderId="23" xfId="0" applyFont="1" applyBorder="1"/>
    <xf numFmtId="43" fontId="3" fillId="0" borderId="0" xfId="1" applyFont="1"/>
    <xf numFmtId="43" fontId="10" fillId="0" borderId="0" xfId="1" applyFont="1"/>
    <xf numFmtId="0" fontId="3" fillId="0" borderId="0" xfId="0" applyFont="1" applyAlignment="1">
      <alignment horizontal="center"/>
    </xf>
    <xf numFmtId="164" fontId="3" fillId="0" borderId="0" xfId="1" applyNumberFormat="1" applyFont="1" applyAlignment="1">
      <alignment horizontal="center"/>
    </xf>
    <xf numFmtId="0" fontId="18" fillId="0" borderId="19" xfId="0" applyFont="1" applyBorder="1"/>
    <xf numFmtId="0" fontId="3" fillId="0" borderId="0" xfId="0" quotePrefix="1" applyFont="1" applyAlignment="1">
      <alignment horizontal="left"/>
    </xf>
    <xf numFmtId="0" fontId="3" fillId="0" borderId="2" xfId="0" applyFont="1" applyBorder="1" applyAlignment="1">
      <alignment horizontal="center" vertical="center"/>
    </xf>
    <xf numFmtId="0" fontId="3" fillId="0" borderId="1"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Medium4"/>
  <colors>
    <mruColors>
      <color rgb="FFA50021"/>
      <color rgb="FFFFFFFF"/>
      <color rgb="FFC5D9F1"/>
      <color rgb="FFCCFFCC"/>
      <color rgb="FFE4DF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514350</xdr:colOff>
      <xdr:row>34</xdr:row>
      <xdr:rowOff>171450</xdr:rowOff>
    </xdr:from>
    <xdr:to>
      <xdr:col>1</xdr:col>
      <xdr:colOff>1000125</xdr:colOff>
      <xdr:row>38</xdr:row>
      <xdr:rowOff>76201</xdr:rowOff>
    </xdr:to>
    <xdr:sp macro="" textlink="">
      <xdr:nvSpPr>
        <xdr:cNvPr id="2" name="Arrow: Down 1">
          <a:extLst>
            <a:ext uri="{FF2B5EF4-FFF2-40B4-BE49-F238E27FC236}">
              <a16:creationId xmlns:a16="http://schemas.microsoft.com/office/drawing/2014/main" id="{53C8E762-1BD6-42F0-9208-EFFDC44DC4A8}"/>
            </a:ext>
          </a:extLst>
        </xdr:cNvPr>
        <xdr:cNvSpPr/>
      </xdr:nvSpPr>
      <xdr:spPr>
        <a:xfrm rot="1740000">
          <a:off x="714375" y="4572000"/>
          <a:ext cx="485775" cy="628651"/>
        </a:xfrm>
        <a:prstGeom prst="downArrow">
          <a:avLst>
            <a:gd name="adj1" fmla="val 50000"/>
            <a:gd name="adj2" fmla="val 2346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418354</xdr:colOff>
      <xdr:row>34</xdr:row>
      <xdr:rowOff>140682</xdr:rowOff>
    </xdr:from>
    <xdr:to>
      <xdr:col>1</xdr:col>
      <xdr:colOff>904129</xdr:colOff>
      <xdr:row>37</xdr:row>
      <xdr:rowOff>66154</xdr:rowOff>
    </xdr:to>
    <xdr:sp macro="" textlink="">
      <xdr:nvSpPr>
        <xdr:cNvPr id="2" name="Arrow: Down 1">
          <a:extLst>
            <a:ext uri="{FF2B5EF4-FFF2-40B4-BE49-F238E27FC236}">
              <a16:creationId xmlns:a16="http://schemas.microsoft.com/office/drawing/2014/main" id="{0C1F07C5-E4FC-4CE8-A121-9E5FB3560462}"/>
            </a:ext>
          </a:extLst>
        </xdr:cNvPr>
        <xdr:cNvSpPr/>
      </xdr:nvSpPr>
      <xdr:spPr>
        <a:xfrm rot="1740000">
          <a:off x="618379" y="4541232"/>
          <a:ext cx="485775" cy="468397"/>
        </a:xfrm>
        <a:prstGeom prst="downArrow">
          <a:avLst>
            <a:gd name="adj1" fmla="val 50000"/>
            <a:gd name="adj2" fmla="val 23469"/>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7"/>
  <sheetViews>
    <sheetView tabSelected="1" zoomScale="84" zoomScaleNormal="84" workbookViewId="0"/>
  </sheetViews>
  <sheetFormatPr defaultColWidth="13" defaultRowHeight="15"/>
  <cols>
    <col min="1" max="1" width="3" style="1" customWidth="1"/>
    <col min="2" max="2" width="17" style="1" customWidth="1"/>
    <col min="3" max="3" width="15.42578125" style="1" customWidth="1"/>
    <col min="4" max="4" width="24.28515625" style="1" bestFit="1" customWidth="1"/>
    <col min="5" max="5" width="20.42578125" style="1" bestFit="1" customWidth="1"/>
    <col min="6" max="6" width="17.140625" style="1" customWidth="1"/>
    <col min="7" max="7" width="13.28515625" style="33" hidden="1" customWidth="1"/>
    <col min="8" max="8" width="15.5703125" style="1" hidden="1" customWidth="1"/>
    <col min="9" max="9" width="15.85546875" style="1" customWidth="1"/>
    <col min="10" max="10" width="15.7109375" style="33" customWidth="1"/>
    <col min="11" max="11" width="19" style="1" bestFit="1" customWidth="1"/>
    <col min="12" max="12" width="21.5703125" style="1" bestFit="1" customWidth="1"/>
    <col min="13" max="13" width="15.5703125" style="128" bestFit="1" customWidth="1"/>
    <col min="14" max="16" width="13" style="128"/>
    <col min="17" max="16384" width="13" style="1"/>
  </cols>
  <sheetData>
    <row r="1" spans="1:16">
      <c r="A1" s="32" t="s">
        <v>35</v>
      </c>
      <c r="E1" s="2" t="s">
        <v>2</v>
      </c>
    </row>
    <row r="2" spans="1:16" s="33" customFormat="1">
      <c r="B2" s="32" t="s">
        <v>70</v>
      </c>
      <c r="E2" s="34"/>
      <c r="M2" s="128"/>
      <c r="N2" s="128"/>
      <c r="O2" s="128"/>
      <c r="P2" s="128"/>
    </row>
    <row r="3" spans="1:16" s="33" customFormat="1">
      <c r="B3" s="32"/>
      <c r="C3" s="35" t="s">
        <v>41</v>
      </c>
      <c r="E3" s="34"/>
      <c r="M3" s="128"/>
      <c r="N3" s="128"/>
      <c r="O3" s="128"/>
      <c r="P3" s="128"/>
    </row>
    <row r="4" spans="1:16" s="33" customFormat="1">
      <c r="B4" s="32"/>
      <c r="C4" s="35" t="s">
        <v>84</v>
      </c>
      <c r="E4" s="34"/>
      <c r="M4" s="128"/>
      <c r="N4" s="128"/>
      <c r="O4" s="128"/>
      <c r="P4" s="128"/>
    </row>
    <row r="5" spans="1:16" s="33" customFormat="1">
      <c r="B5" s="32"/>
      <c r="C5" s="35" t="s">
        <v>103</v>
      </c>
      <c r="E5" s="34"/>
      <c r="M5" s="128"/>
      <c r="N5" s="128"/>
      <c r="O5" s="128"/>
      <c r="P5" s="128"/>
    </row>
    <row r="6" spans="1:16" s="33" customFormat="1">
      <c r="B6" s="32"/>
      <c r="C6" s="35" t="s">
        <v>87</v>
      </c>
      <c r="E6" s="34"/>
      <c r="M6" s="128"/>
      <c r="N6" s="128"/>
      <c r="O6" s="128"/>
      <c r="P6" s="128"/>
    </row>
    <row r="7" spans="1:16" s="33" customFormat="1">
      <c r="B7" s="32"/>
      <c r="C7" s="35" t="s">
        <v>77</v>
      </c>
      <c r="E7" s="34"/>
      <c r="M7" s="128"/>
      <c r="N7" s="128"/>
      <c r="O7" s="128"/>
      <c r="P7" s="128"/>
    </row>
    <row r="8" spans="1:16" s="33" customFormat="1">
      <c r="B8" s="32"/>
      <c r="C8" s="35"/>
      <c r="D8" s="35" t="s">
        <v>76</v>
      </c>
      <c r="E8" s="34"/>
      <c r="M8" s="128"/>
      <c r="N8" s="128"/>
      <c r="O8" s="128"/>
      <c r="P8" s="128"/>
    </row>
    <row r="9" spans="1:16" s="33" customFormat="1">
      <c r="B9" s="32"/>
      <c r="C9" s="33" t="s">
        <v>40</v>
      </c>
      <c r="E9" s="34"/>
      <c r="M9" s="128"/>
      <c r="N9" s="128"/>
      <c r="O9" s="128"/>
      <c r="P9" s="128"/>
    </row>
    <row r="10" spans="1:16" s="33" customFormat="1">
      <c r="B10" s="32"/>
      <c r="C10" s="33" t="s">
        <v>73</v>
      </c>
      <c r="E10" s="34"/>
      <c r="M10" s="128"/>
      <c r="N10" s="128"/>
      <c r="O10" s="128"/>
      <c r="P10" s="128"/>
    </row>
    <row r="11" spans="1:16" s="33" customFormat="1">
      <c r="B11" s="32"/>
      <c r="C11" s="33" t="s">
        <v>74</v>
      </c>
      <c r="E11" s="34"/>
      <c r="M11" s="128"/>
      <c r="N11" s="128"/>
      <c r="O11" s="128"/>
      <c r="P11" s="128"/>
    </row>
    <row r="12" spans="1:16" s="33" customFormat="1">
      <c r="A12" s="32"/>
      <c r="B12" s="33" t="s">
        <v>94</v>
      </c>
      <c r="E12" s="34"/>
      <c r="M12" s="128"/>
      <c r="N12" s="128"/>
      <c r="O12" s="128"/>
      <c r="P12" s="128"/>
    </row>
    <row r="13" spans="1:16" ht="15.75" thickBot="1">
      <c r="B13" s="35" t="s">
        <v>71</v>
      </c>
    </row>
    <row r="14" spans="1:16">
      <c r="B14" s="110" t="s">
        <v>30</v>
      </c>
      <c r="C14" s="4"/>
      <c r="D14" s="4"/>
      <c r="E14" s="36"/>
      <c r="F14" s="36" t="s">
        <v>22</v>
      </c>
      <c r="G14" s="37"/>
      <c r="H14" s="5"/>
      <c r="I14" s="4"/>
      <c r="J14" s="36"/>
      <c r="K14" s="4"/>
      <c r="L14" s="23"/>
    </row>
    <row r="15" spans="1:16">
      <c r="B15" s="10" t="s">
        <v>3</v>
      </c>
      <c r="C15" s="11"/>
      <c r="D15" s="72"/>
      <c r="E15" s="11"/>
      <c r="F15" s="47"/>
      <c r="G15" s="47"/>
      <c r="H15" s="45"/>
      <c r="I15" s="45"/>
      <c r="J15" s="45"/>
      <c r="K15" s="46"/>
      <c r="L15" s="24"/>
    </row>
    <row r="16" spans="1:16" ht="15.75">
      <c r="B16" s="92" t="s">
        <v>38</v>
      </c>
      <c r="C16" s="11"/>
      <c r="D16" s="72"/>
      <c r="E16" s="11"/>
      <c r="F16" s="119"/>
      <c r="G16" s="120"/>
      <c r="H16" s="120"/>
      <c r="I16" s="119"/>
      <c r="J16" s="119"/>
      <c r="K16" s="119"/>
      <c r="L16" s="121"/>
    </row>
    <row r="17" spans="2:16">
      <c r="B17" s="89" t="s">
        <v>39</v>
      </c>
      <c r="C17" s="101" t="s">
        <v>36</v>
      </c>
      <c r="D17" s="99">
        <v>225700</v>
      </c>
      <c r="E17" s="13"/>
      <c r="F17" s="122"/>
      <c r="G17" s="123"/>
      <c r="H17" s="120"/>
      <c r="I17" s="124"/>
      <c r="J17" s="124"/>
      <c r="K17" s="120"/>
      <c r="L17" s="121"/>
    </row>
    <row r="18" spans="2:16">
      <c r="B18" s="125" t="s">
        <v>26</v>
      </c>
      <c r="E18" s="12"/>
      <c r="G18" s="46"/>
      <c r="H18" s="11"/>
      <c r="I18" s="7"/>
      <c r="K18" s="30"/>
      <c r="L18" s="24"/>
    </row>
    <row r="19" spans="2:16" s="33" customFormat="1">
      <c r="B19" s="89" t="s">
        <v>101</v>
      </c>
      <c r="C19" s="45"/>
      <c r="D19" s="102">
        <v>215600</v>
      </c>
      <c r="E19" s="133" t="s">
        <v>32</v>
      </c>
      <c r="F19" s="108" t="s">
        <v>21</v>
      </c>
      <c r="G19" s="46"/>
      <c r="H19" s="45"/>
      <c r="I19" s="12" t="s">
        <v>8</v>
      </c>
      <c r="J19" s="46" t="s">
        <v>9</v>
      </c>
      <c r="K19" s="12" t="s">
        <v>10</v>
      </c>
      <c r="L19" s="24"/>
      <c r="M19" s="128"/>
      <c r="N19" s="128"/>
      <c r="O19" s="128"/>
      <c r="P19" s="128"/>
    </row>
    <row r="20" spans="2:16">
      <c r="B20" s="10" t="s">
        <v>18</v>
      </c>
      <c r="C20" s="14"/>
      <c r="D20" s="103">
        <v>0.03</v>
      </c>
      <c r="E20" s="108" t="s">
        <v>97</v>
      </c>
      <c r="F20" s="96">
        <f>(D19/10*5)+((D19*(D20+1)/10*5))</f>
        <v>218834</v>
      </c>
      <c r="G20" s="71"/>
      <c r="I20" s="14">
        <f>(D17*0.75)</f>
        <v>169275</v>
      </c>
      <c r="J20" s="55">
        <f>I20/10</f>
        <v>16927.5</v>
      </c>
      <c r="K20" s="55">
        <f>(D17-I20)/3</f>
        <v>18808.333333333332</v>
      </c>
      <c r="L20" s="31"/>
    </row>
    <row r="21" spans="2:16">
      <c r="B21" s="8"/>
      <c r="C21" s="9"/>
      <c r="D21" s="43" t="s">
        <v>72</v>
      </c>
      <c r="E21" s="43" t="s">
        <v>72</v>
      </c>
      <c r="F21" s="134" t="s">
        <v>17</v>
      </c>
      <c r="G21" s="73" t="s">
        <v>5</v>
      </c>
      <c r="H21" s="73" t="s">
        <v>5</v>
      </c>
      <c r="I21" s="43" t="s">
        <v>80</v>
      </c>
      <c r="J21" s="81" t="s">
        <v>28</v>
      </c>
      <c r="K21" s="19" t="s">
        <v>33</v>
      </c>
      <c r="L21" s="25" t="s">
        <v>90</v>
      </c>
    </row>
    <row r="22" spans="2:16">
      <c r="B22" s="6"/>
      <c r="C22" s="15"/>
      <c r="D22" s="51" t="s">
        <v>79</v>
      </c>
      <c r="E22" s="51" t="s">
        <v>34</v>
      </c>
      <c r="F22" s="135"/>
      <c r="G22" s="74" t="s">
        <v>14</v>
      </c>
      <c r="H22" s="75" t="s">
        <v>0</v>
      </c>
      <c r="I22" s="51" t="s">
        <v>81</v>
      </c>
      <c r="J22" s="79" t="s">
        <v>29</v>
      </c>
      <c r="K22" s="20" t="s">
        <v>89</v>
      </c>
      <c r="L22" s="26" t="s">
        <v>91</v>
      </c>
    </row>
    <row r="23" spans="2:16">
      <c r="B23" s="10"/>
      <c r="C23" s="52" t="s">
        <v>105</v>
      </c>
      <c r="D23" s="14"/>
      <c r="E23" s="14"/>
      <c r="F23" s="14"/>
      <c r="G23" s="76"/>
      <c r="H23" s="76"/>
      <c r="I23" s="114"/>
      <c r="J23" s="80"/>
      <c r="K23" s="21"/>
      <c r="L23" s="27"/>
    </row>
    <row r="24" spans="2:16">
      <c r="B24" s="3" t="s">
        <v>24</v>
      </c>
      <c r="C24" s="70"/>
      <c r="D24" s="56">
        <f>(D19/10)-4820.77</f>
        <v>16739.23</v>
      </c>
      <c r="E24" s="56">
        <v>4820.7700000000004</v>
      </c>
      <c r="F24" s="87">
        <f>F$20/10</f>
        <v>21883.4</v>
      </c>
      <c r="G24" s="77">
        <f>IFERROR(IF(F24&lt;I24,1,I24/F24),0)</f>
        <v>0.77353153531900887</v>
      </c>
      <c r="H24" s="78">
        <f>IFERROR((D24+E24)/F24,0)</f>
        <v>0.9852216748768472</v>
      </c>
      <c r="I24" s="115">
        <f>$J$20</f>
        <v>16927.5</v>
      </c>
      <c r="J24" s="83">
        <f>F24-I24</f>
        <v>4955.9000000000015</v>
      </c>
      <c r="K24" s="93"/>
      <c r="L24" s="88"/>
    </row>
    <row r="25" spans="2:16">
      <c r="B25" s="3" t="s">
        <v>24</v>
      </c>
      <c r="C25" s="70"/>
      <c r="D25" s="56"/>
      <c r="E25" s="56"/>
      <c r="F25" s="95">
        <f t="shared" ref="F25:F28" si="0">F$20/10</f>
        <v>21883.4</v>
      </c>
      <c r="G25" s="77">
        <f t="shared" ref="G25:G27" si="1">IFERROR(IF(F25&lt;I25,1,I25/F25),0)</f>
        <v>0.77353153531900887</v>
      </c>
      <c r="H25" s="78">
        <f t="shared" ref="H25:H27" si="2">IFERROR((D25+E25)/F25,0)</f>
        <v>0</v>
      </c>
      <c r="I25" s="115">
        <f>$J$20</f>
        <v>16927.5</v>
      </c>
      <c r="J25" s="83">
        <f t="shared" ref="J25:J27" si="3">F25-I25</f>
        <v>4955.9000000000015</v>
      </c>
      <c r="K25" s="93"/>
      <c r="L25" s="88"/>
    </row>
    <row r="26" spans="2:16">
      <c r="B26" s="3" t="s">
        <v>24</v>
      </c>
      <c r="C26" s="70"/>
      <c r="D26" s="56"/>
      <c r="E26" s="56"/>
      <c r="F26" s="87">
        <f t="shared" si="0"/>
        <v>21883.4</v>
      </c>
      <c r="G26" s="77">
        <f t="shared" si="1"/>
        <v>0.77353153531900887</v>
      </c>
      <c r="H26" s="78">
        <f t="shared" si="2"/>
        <v>0</v>
      </c>
      <c r="I26" s="115">
        <f>$J$20</f>
        <v>16927.5</v>
      </c>
      <c r="J26" s="83">
        <f t="shared" si="3"/>
        <v>4955.9000000000015</v>
      </c>
      <c r="K26" s="93"/>
      <c r="L26" s="88"/>
    </row>
    <row r="27" spans="2:16">
      <c r="B27" s="3" t="s">
        <v>24</v>
      </c>
      <c r="C27" s="70"/>
      <c r="D27" s="56"/>
      <c r="E27" s="56"/>
      <c r="F27" s="87">
        <f t="shared" si="0"/>
        <v>21883.4</v>
      </c>
      <c r="G27" s="77">
        <f t="shared" si="1"/>
        <v>0.77353153531900887</v>
      </c>
      <c r="H27" s="78">
        <f t="shared" si="2"/>
        <v>0</v>
      </c>
      <c r="I27" s="115">
        <f>$J$20</f>
        <v>16927.5</v>
      </c>
      <c r="J27" s="83">
        <f t="shared" si="3"/>
        <v>4955.9000000000015</v>
      </c>
      <c r="K27" s="93"/>
      <c r="L27" s="88"/>
    </row>
    <row r="28" spans="2:16" s="33" customFormat="1">
      <c r="B28" s="3" t="s">
        <v>24</v>
      </c>
      <c r="D28" s="56"/>
      <c r="E28" s="56">
        <v>5355.88</v>
      </c>
      <c r="F28" s="87">
        <f t="shared" si="0"/>
        <v>21883.4</v>
      </c>
      <c r="G28" s="77">
        <f t="shared" ref="G28" si="4">IFERROR(IF(F28&lt;I28,1,I28/F28),0)</f>
        <v>0.77353153531900887</v>
      </c>
      <c r="H28" s="78">
        <f t="shared" ref="H28" si="5">IFERROR((D28+E28)/F28,0)</f>
        <v>0.24474624601295958</v>
      </c>
      <c r="I28" s="115">
        <f>$J$20</f>
        <v>16927.5</v>
      </c>
      <c r="J28" s="83">
        <f t="shared" ref="J28:J31" si="6">F28-I28</f>
        <v>4955.9000000000015</v>
      </c>
      <c r="K28" s="93"/>
      <c r="L28" s="88"/>
      <c r="M28" s="128"/>
      <c r="N28" s="128"/>
      <c r="O28" s="128"/>
      <c r="P28" s="128"/>
    </row>
    <row r="29" spans="2:16" s="33" customFormat="1">
      <c r="B29" s="82" t="s">
        <v>11</v>
      </c>
      <c r="C29" s="70"/>
      <c r="D29" s="56">
        <f>((D19/10)*1.111)-5355.88</f>
        <v>18597.28</v>
      </c>
      <c r="E29" s="56"/>
      <c r="F29" s="87">
        <f>(D$19/10)*1.1111</f>
        <v>23955.315999999999</v>
      </c>
      <c r="G29" s="77">
        <f t="shared" ref="G29:G38" si="7">IFERROR(IF(F29&lt;I29,1,I29/F29),0)</f>
        <v>0.78514235977239177</v>
      </c>
      <c r="H29" s="78">
        <f t="shared" ref="H29:H36" si="8">IFERROR((D29+E29)/F29,0)</f>
        <v>0.77633206758783724</v>
      </c>
      <c r="I29" s="115">
        <f>$K$20</f>
        <v>18808.333333333332</v>
      </c>
      <c r="J29" s="83">
        <f t="shared" si="6"/>
        <v>5146.9826666666668</v>
      </c>
      <c r="K29" s="93"/>
      <c r="L29" s="88"/>
      <c r="M29" s="128"/>
      <c r="N29" s="128"/>
      <c r="O29" s="128"/>
      <c r="P29" s="128"/>
    </row>
    <row r="30" spans="2:16" s="33" customFormat="1">
      <c r="B30" s="82" t="s">
        <v>12</v>
      </c>
      <c r="C30" s="70"/>
      <c r="D30" s="56"/>
      <c r="E30" s="56"/>
      <c r="F30" s="87">
        <f t="shared" ref="F30:F31" si="9">(D$19/10)*1.1111</f>
        <v>23955.315999999999</v>
      </c>
      <c r="G30" s="77">
        <f t="shared" si="7"/>
        <v>0.78514235977239177</v>
      </c>
      <c r="H30" s="78">
        <f t="shared" si="8"/>
        <v>0</v>
      </c>
      <c r="I30" s="115">
        <f>$K$20</f>
        <v>18808.333333333332</v>
      </c>
      <c r="J30" s="83">
        <f t="shared" si="6"/>
        <v>5146.9826666666668</v>
      </c>
      <c r="K30" s="93"/>
      <c r="L30" s="88"/>
      <c r="M30" s="128"/>
      <c r="N30" s="128"/>
      <c r="O30" s="128"/>
      <c r="P30" s="128"/>
    </row>
    <row r="31" spans="2:16">
      <c r="B31" s="82" t="s">
        <v>13</v>
      </c>
      <c r="C31" s="70"/>
      <c r="D31" s="56"/>
      <c r="E31" s="56"/>
      <c r="F31" s="87">
        <f t="shared" si="9"/>
        <v>23955.315999999999</v>
      </c>
      <c r="G31" s="77">
        <f t="shared" si="7"/>
        <v>0.78514235977239177</v>
      </c>
      <c r="H31" s="78">
        <f t="shared" si="8"/>
        <v>0</v>
      </c>
      <c r="I31" s="115">
        <f>$K$20</f>
        <v>18808.333333333332</v>
      </c>
      <c r="J31" s="83">
        <f t="shared" si="6"/>
        <v>5146.9826666666668</v>
      </c>
      <c r="K31" s="93"/>
      <c r="L31" s="88"/>
    </row>
    <row r="32" spans="2:16">
      <c r="B32" s="3" t="s">
        <v>24</v>
      </c>
      <c r="C32" s="70"/>
      <c r="D32" s="56"/>
      <c r="E32" s="56"/>
      <c r="F32" s="87">
        <f>F$20/10</f>
        <v>21883.4</v>
      </c>
      <c r="G32" s="77">
        <f t="shared" si="7"/>
        <v>0.77353153531900887</v>
      </c>
      <c r="H32" s="78">
        <f t="shared" si="8"/>
        <v>0</v>
      </c>
      <c r="I32" s="115">
        <f>$J$20</f>
        <v>16927.5</v>
      </c>
      <c r="J32" s="83">
        <f t="shared" ref="J32:J36" si="10">F32-I32</f>
        <v>4955.9000000000015</v>
      </c>
      <c r="K32" s="93"/>
      <c r="L32" s="88"/>
    </row>
    <row r="33" spans="2:16">
      <c r="B33" s="3" t="s">
        <v>24</v>
      </c>
      <c r="C33" s="70"/>
      <c r="D33" s="56"/>
      <c r="E33" s="56"/>
      <c r="F33" s="87">
        <f>F$20/10</f>
        <v>21883.4</v>
      </c>
      <c r="G33" s="77">
        <f t="shared" si="7"/>
        <v>0.77353153531900887</v>
      </c>
      <c r="H33" s="78">
        <f t="shared" si="8"/>
        <v>0</v>
      </c>
      <c r="I33" s="115">
        <f>$J$20</f>
        <v>16927.5</v>
      </c>
      <c r="J33" s="83">
        <f t="shared" si="10"/>
        <v>4955.9000000000015</v>
      </c>
      <c r="K33" s="93"/>
      <c r="L33" s="88"/>
      <c r="M33" s="129"/>
    </row>
    <row r="34" spans="2:16">
      <c r="B34" s="3" t="s">
        <v>24</v>
      </c>
      <c r="C34" s="70"/>
      <c r="D34" s="56"/>
      <c r="E34" s="56"/>
      <c r="F34" s="87">
        <f>F$20/10</f>
        <v>21883.4</v>
      </c>
      <c r="G34" s="77">
        <f t="shared" si="7"/>
        <v>0.77353153531900887</v>
      </c>
      <c r="H34" s="78">
        <f t="shared" si="8"/>
        <v>0</v>
      </c>
      <c r="I34" s="115">
        <f>$J$20</f>
        <v>16927.5</v>
      </c>
      <c r="J34" s="83">
        <f t="shared" si="10"/>
        <v>4955.9000000000015</v>
      </c>
      <c r="K34" s="93"/>
      <c r="L34" s="88"/>
    </row>
    <row r="35" spans="2:16">
      <c r="B35" s="3" t="s">
        <v>24</v>
      </c>
      <c r="C35" s="70"/>
      <c r="D35" s="56"/>
      <c r="E35" s="56"/>
      <c r="F35" s="87">
        <f>F$20/10</f>
        <v>21883.4</v>
      </c>
      <c r="G35" s="77">
        <f t="shared" si="7"/>
        <v>0.77353153531900887</v>
      </c>
      <c r="H35" s="78">
        <f t="shared" si="8"/>
        <v>0</v>
      </c>
      <c r="I35" s="115">
        <f>$J$20</f>
        <v>16927.5</v>
      </c>
      <c r="J35" s="83">
        <f t="shared" si="10"/>
        <v>4955.9000000000015</v>
      </c>
      <c r="K35" s="93"/>
      <c r="L35" s="88"/>
    </row>
    <row r="36" spans="2:16">
      <c r="B36" s="3" t="s">
        <v>24</v>
      </c>
      <c r="C36" s="70"/>
      <c r="D36" s="56"/>
      <c r="E36" s="56"/>
      <c r="F36" s="87">
        <f>F$20/10</f>
        <v>21883.4</v>
      </c>
      <c r="G36" s="77">
        <f t="shared" si="7"/>
        <v>0.77353153531900887</v>
      </c>
      <c r="H36" s="78">
        <f t="shared" si="8"/>
        <v>0</v>
      </c>
      <c r="I36" s="115">
        <f>$J$20</f>
        <v>16927.5</v>
      </c>
      <c r="J36" s="83">
        <f t="shared" si="10"/>
        <v>4955.9000000000015</v>
      </c>
      <c r="K36" s="93"/>
      <c r="L36" s="88"/>
    </row>
    <row r="37" spans="2:16" ht="12" customHeight="1">
      <c r="B37" s="10"/>
      <c r="C37" s="7"/>
      <c r="D37" s="7"/>
      <c r="E37" s="7"/>
      <c r="F37" s="16"/>
      <c r="G37" s="53"/>
      <c r="H37" s="17"/>
      <c r="I37" s="114"/>
      <c r="J37" s="18"/>
      <c r="K37" s="22"/>
      <c r="L37" s="28"/>
    </row>
    <row r="38" spans="2:16">
      <c r="B38" s="10" t="s">
        <v>1</v>
      </c>
      <c r="C38" s="7"/>
      <c r="D38" s="98">
        <f>SUM(D24:D37)</f>
        <v>35336.509999999995</v>
      </c>
      <c r="E38" s="98">
        <f>SUM(E24:E37)</f>
        <v>10176.650000000001</v>
      </c>
      <c r="F38" s="98">
        <f>SUM(F24:F37)</f>
        <v>290699.94799999997</v>
      </c>
      <c r="G38" s="77">
        <f t="shared" si="7"/>
        <v>0.7764019276673555</v>
      </c>
      <c r="H38" s="17"/>
      <c r="I38" s="116">
        <f>SUM(I24:I37)</f>
        <v>225700</v>
      </c>
      <c r="J38" s="97">
        <f>SUM(J24:J36)</f>
        <v>64999.948000000011</v>
      </c>
      <c r="K38" s="107">
        <f t="shared" ref="K38" si="11">IF(F38=0,"",IF(F38&lt;I38,"Not over cap",(D38+E38)/F38*J38-E38))</f>
        <v>4.8417672223877162E-3</v>
      </c>
      <c r="L38" s="106">
        <f>IF(F38&lt;I38,"",IF(D38&gt;I38,"N/A",(D38/G38)-D38-E38))</f>
        <v>6.236160741536878E-3</v>
      </c>
    </row>
    <row r="39" spans="2:16" s="33" customFormat="1" ht="19.149999999999999" customHeight="1" thickBot="1">
      <c r="B39" s="126" t="s">
        <v>93</v>
      </c>
      <c r="C39" s="58"/>
      <c r="D39" s="59"/>
      <c r="E39" s="59"/>
      <c r="F39" s="59"/>
      <c r="G39" s="59"/>
      <c r="H39" s="60"/>
      <c r="I39" s="111" t="s">
        <v>107</v>
      </c>
      <c r="J39" s="59"/>
      <c r="K39" s="66"/>
      <c r="L39" s="105"/>
      <c r="M39" s="128"/>
      <c r="N39" s="128"/>
      <c r="O39" s="128"/>
      <c r="P39" s="128"/>
    </row>
    <row r="40" spans="2:16" ht="16.5" thickBot="1">
      <c r="B40" s="132" t="s">
        <v>92</v>
      </c>
      <c r="C40" s="58"/>
      <c r="D40" s="58"/>
      <c r="E40" s="58"/>
      <c r="F40" s="59"/>
      <c r="G40" s="59"/>
      <c r="H40" s="60"/>
      <c r="I40" s="59"/>
      <c r="J40" s="59"/>
      <c r="K40" s="67"/>
      <c r="L40" s="29"/>
    </row>
    <row r="42" spans="2:16">
      <c r="B42" s="33" t="s">
        <v>42</v>
      </c>
      <c r="D42" s="91"/>
      <c r="E42" s="91"/>
      <c r="F42" s="91"/>
      <c r="J42" s="91"/>
    </row>
    <row r="43" spans="2:16">
      <c r="C43" s="130">
        <v>11114</v>
      </c>
      <c r="D43" s="33" t="s">
        <v>64</v>
      </c>
    </row>
    <row r="44" spans="2:16">
      <c r="C44" s="130">
        <v>12114</v>
      </c>
      <c r="D44" s="33" t="s">
        <v>65</v>
      </c>
      <c r="F44" s="85"/>
      <c r="H44" s="86"/>
    </row>
    <row r="45" spans="2:16">
      <c r="C45" s="130">
        <v>13114</v>
      </c>
      <c r="D45" s="33" t="s">
        <v>66</v>
      </c>
    </row>
    <row r="46" spans="2:16">
      <c r="B46" s="33"/>
      <c r="C46" s="130"/>
    </row>
    <row r="47" spans="2:16">
      <c r="B47" s="33" t="s">
        <v>43</v>
      </c>
      <c r="C47" s="130"/>
    </row>
    <row r="48" spans="2:16">
      <c r="C48" s="130" t="s">
        <v>44</v>
      </c>
      <c r="D48" s="1" t="s">
        <v>49</v>
      </c>
      <c r="E48" s="33" t="s">
        <v>45</v>
      </c>
    </row>
    <row r="49" spans="2:13">
      <c r="C49" s="130" t="s">
        <v>46</v>
      </c>
      <c r="D49" s="33" t="s">
        <v>47</v>
      </c>
      <c r="E49" s="33" t="s">
        <v>48</v>
      </c>
    </row>
    <row r="50" spans="2:13">
      <c r="C50" s="130" t="s">
        <v>50</v>
      </c>
      <c r="D50" s="33" t="s">
        <v>51</v>
      </c>
      <c r="E50" s="33" t="s">
        <v>52</v>
      </c>
    </row>
    <row r="51" spans="2:13">
      <c r="B51" s="33"/>
    </row>
    <row r="52" spans="2:13">
      <c r="B52" s="33" t="s">
        <v>67</v>
      </c>
    </row>
    <row r="53" spans="2:13">
      <c r="B53" s="130" t="s">
        <v>60</v>
      </c>
      <c r="C53" s="130" t="s">
        <v>53</v>
      </c>
      <c r="D53" s="130" t="s">
        <v>54</v>
      </c>
      <c r="E53" s="130" t="s">
        <v>55</v>
      </c>
      <c r="F53" s="130" t="s">
        <v>56</v>
      </c>
      <c r="G53" s="130" t="s">
        <v>57</v>
      </c>
      <c r="H53" s="130"/>
      <c r="I53" s="130" t="s">
        <v>44</v>
      </c>
      <c r="J53" s="130" t="s">
        <v>58</v>
      </c>
      <c r="K53" s="130" t="s">
        <v>59</v>
      </c>
      <c r="L53" s="130" t="s">
        <v>82</v>
      </c>
      <c r="M53" s="1"/>
    </row>
    <row r="54" spans="2:13">
      <c r="B54" s="131">
        <v>10177</v>
      </c>
      <c r="C54" s="130">
        <v>18400</v>
      </c>
      <c r="D54" s="130" t="s">
        <v>61</v>
      </c>
      <c r="E54" s="130" t="s">
        <v>62</v>
      </c>
      <c r="F54" s="130">
        <v>510000</v>
      </c>
      <c r="G54" s="130">
        <v>19640951</v>
      </c>
      <c r="H54" s="130"/>
      <c r="I54" s="130">
        <v>10000</v>
      </c>
      <c r="J54" s="130">
        <v>11200</v>
      </c>
      <c r="K54" s="130" t="s">
        <v>63</v>
      </c>
      <c r="L54" s="130" t="s">
        <v>83</v>
      </c>
      <c r="M54" s="1"/>
    </row>
    <row r="55" spans="2:13">
      <c r="B55" s="131">
        <f>B54*0.39</f>
        <v>3969.03</v>
      </c>
      <c r="C55" s="130">
        <v>18400</v>
      </c>
      <c r="D55" s="130" t="s">
        <v>61</v>
      </c>
      <c r="E55" s="130" t="s">
        <v>62</v>
      </c>
      <c r="F55" s="130">
        <v>550000</v>
      </c>
      <c r="G55" s="130">
        <v>19640951</v>
      </c>
      <c r="H55" s="130"/>
      <c r="I55" s="130">
        <v>10000</v>
      </c>
      <c r="J55" s="130">
        <v>11200</v>
      </c>
      <c r="K55" s="130" t="s">
        <v>63</v>
      </c>
      <c r="L55" s="130" t="s">
        <v>83</v>
      </c>
      <c r="M55" s="1"/>
    </row>
    <row r="56" spans="2:13">
      <c r="C56" s="1" t="s">
        <v>68</v>
      </c>
    </row>
    <row r="57" spans="2:13">
      <c r="C57" s="1" t="s">
        <v>69</v>
      </c>
    </row>
  </sheetData>
  <mergeCells count="1">
    <mergeCell ref="F21:F22"/>
  </mergeCells>
  <phoneticPr fontId="6" type="noConversion"/>
  <pageMargins left="0.25" right="0.25" top="0.75" bottom="0.75" header="0.3" footer="0.3"/>
  <pageSetup scale="81" orientation="landscape"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8"/>
  <sheetViews>
    <sheetView zoomScale="84" zoomScaleNormal="84" workbookViewId="0">
      <selection activeCell="I39" sqref="I39"/>
    </sheetView>
  </sheetViews>
  <sheetFormatPr defaultColWidth="13" defaultRowHeight="15"/>
  <cols>
    <col min="1" max="1" width="3" style="33" customWidth="1"/>
    <col min="2" max="2" width="17" style="33" customWidth="1"/>
    <col min="3" max="3" width="14.7109375" style="33" customWidth="1"/>
    <col min="4" max="4" width="24.28515625" style="33" bestFit="1" customWidth="1"/>
    <col min="5" max="5" width="20.42578125" style="33" bestFit="1" customWidth="1"/>
    <col min="6" max="6" width="14.5703125" style="33" bestFit="1" customWidth="1"/>
    <col min="7" max="7" width="11.28515625" style="33" hidden="1" customWidth="1"/>
    <col min="8" max="8" width="12.140625" style="33" hidden="1" customWidth="1"/>
    <col min="9" max="9" width="13.28515625" style="33" customWidth="1"/>
    <col min="10" max="10" width="15.42578125" style="33" customWidth="1"/>
    <col min="11" max="11" width="19" style="33" bestFit="1" customWidth="1"/>
    <col min="12" max="12" width="21.5703125" style="33" bestFit="1" customWidth="1"/>
    <col min="13" max="13" width="4.28515625" style="33" customWidth="1"/>
    <col min="14" max="16384" width="13" style="33"/>
  </cols>
  <sheetData>
    <row r="1" spans="1:15">
      <c r="A1" s="32" t="s">
        <v>35</v>
      </c>
      <c r="E1" s="34" t="s">
        <v>2</v>
      </c>
    </row>
    <row r="2" spans="1:15">
      <c r="B2" s="32" t="s">
        <v>70</v>
      </c>
      <c r="E2" s="34"/>
    </row>
    <row r="3" spans="1:15">
      <c r="B3" s="32"/>
      <c r="C3" s="35" t="s">
        <v>41</v>
      </c>
      <c r="E3" s="34"/>
    </row>
    <row r="4" spans="1:15">
      <c r="B4" s="32"/>
      <c r="C4" s="35" t="s">
        <v>84</v>
      </c>
      <c r="E4" s="34"/>
    </row>
    <row r="5" spans="1:15">
      <c r="B5" s="32"/>
      <c r="C5" s="35" t="s">
        <v>103</v>
      </c>
      <c r="E5" s="34"/>
    </row>
    <row r="6" spans="1:15">
      <c r="B6" s="32"/>
      <c r="C6" s="35" t="s">
        <v>88</v>
      </c>
      <c r="E6" s="34"/>
    </row>
    <row r="7" spans="1:15">
      <c r="B7" s="32"/>
      <c r="C7" s="35" t="s">
        <v>77</v>
      </c>
      <c r="E7" s="34"/>
    </row>
    <row r="8" spans="1:15">
      <c r="B8" s="32"/>
      <c r="C8" s="35"/>
      <c r="D8" s="35" t="s">
        <v>76</v>
      </c>
      <c r="E8" s="34"/>
    </row>
    <row r="9" spans="1:15">
      <c r="B9" s="32"/>
      <c r="C9" s="33" t="s">
        <v>40</v>
      </c>
      <c r="E9" s="34"/>
      <c r="N9" s="35"/>
    </row>
    <row r="10" spans="1:15">
      <c r="B10" s="32"/>
      <c r="C10" s="33" t="s">
        <v>73</v>
      </c>
      <c r="E10" s="34"/>
      <c r="O10" s="35"/>
    </row>
    <row r="11" spans="1:15">
      <c r="B11" s="32"/>
      <c r="C11" s="33" t="s">
        <v>74</v>
      </c>
      <c r="E11" s="34"/>
    </row>
    <row r="12" spans="1:15">
      <c r="A12" s="32"/>
      <c r="B12" s="35" t="s">
        <v>71</v>
      </c>
      <c r="E12" s="34"/>
    </row>
    <row r="13" spans="1:15" ht="15.75" thickBot="1">
      <c r="A13" s="32"/>
      <c r="B13" s="35"/>
      <c r="E13" s="34"/>
    </row>
    <row r="14" spans="1:15">
      <c r="B14" s="110" t="s">
        <v>30</v>
      </c>
      <c r="C14" s="36"/>
      <c r="D14" s="36"/>
      <c r="E14" s="36"/>
      <c r="F14" s="36" t="s">
        <v>22</v>
      </c>
      <c r="G14" s="37"/>
      <c r="H14" s="38"/>
      <c r="I14" s="36"/>
      <c r="J14" s="36"/>
      <c r="K14" s="36"/>
      <c r="L14" s="23"/>
    </row>
    <row r="15" spans="1:15">
      <c r="B15" s="89" t="s">
        <v>3</v>
      </c>
      <c r="C15" s="45"/>
      <c r="D15" s="72"/>
      <c r="E15" s="45"/>
      <c r="F15" s="47"/>
      <c r="G15" s="47"/>
      <c r="H15" s="45"/>
      <c r="I15" s="45"/>
      <c r="J15" s="45"/>
      <c r="K15" s="46"/>
      <c r="L15" s="24"/>
    </row>
    <row r="16" spans="1:15" ht="15.75">
      <c r="B16" s="92" t="s">
        <v>38</v>
      </c>
      <c r="C16" s="45"/>
      <c r="D16" s="72"/>
      <c r="E16" s="45"/>
      <c r="F16" s="119"/>
      <c r="G16" s="120"/>
      <c r="H16" s="120"/>
      <c r="I16" s="119"/>
      <c r="J16" s="119"/>
      <c r="K16" s="119"/>
      <c r="L16" s="121"/>
    </row>
    <row r="17" spans="2:15">
      <c r="B17" s="89" t="s">
        <v>39</v>
      </c>
      <c r="C17" s="101" t="s">
        <v>36</v>
      </c>
      <c r="D17" s="99">
        <v>225700</v>
      </c>
      <c r="E17" s="48"/>
      <c r="F17" s="122"/>
      <c r="G17" s="123"/>
      <c r="H17" s="120"/>
      <c r="I17" s="124"/>
      <c r="J17" s="124"/>
      <c r="K17" s="120"/>
      <c r="L17" s="121"/>
    </row>
    <row r="18" spans="2:15">
      <c r="B18" s="125" t="s">
        <v>26</v>
      </c>
      <c r="E18" s="46"/>
      <c r="G18" s="46"/>
      <c r="H18" s="45"/>
      <c r="I18" s="40"/>
      <c r="K18" s="30"/>
      <c r="L18" s="24"/>
    </row>
    <row r="19" spans="2:15">
      <c r="B19" s="89" t="s">
        <v>101</v>
      </c>
      <c r="C19" s="45"/>
      <c r="D19" s="102">
        <v>215600</v>
      </c>
      <c r="F19" s="40"/>
      <c r="G19" s="46"/>
      <c r="H19" s="45"/>
      <c r="I19" s="46" t="s">
        <v>8</v>
      </c>
      <c r="J19" s="46" t="s">
        <v>9</v>
      </c>
      <c r="K19" s="46" t="s">
        <v>10</v>
      </c>
      <c r="L19" s="24"/>
    </row>
    <row r="20" spans="2:15">
      <c r="B20" s="89" t="s">
        <v>98</v>
      </c>
      <c r="C20" s="49"/>
      <c r="D20" s="102">
        <v>220000</v>
      </c>
      <c r="F20" s="40"/>
      <c r="G20" s="71"/>
      <c r="I20" s="49">
        <f>(D17*0.75)</f>
        <v>169275</v>
      </c>
      <c r="J20" s="90">
        <f>I20/10</f>
        <v>16927.5</v>
      </c>
      <c r="K20" s="90">
        <f>(D17-I20)/3</f>
        <v>18808.333333333332</v>
      </c>
      <c r="L20" s="31"/>
    </row>
    <row r="21" spans="2:15">
      <c r="B21" s="41"/>
      <c r="C21" s="42"/>
      <c r="D21" s="43" t="s">
        <v>72</v>
      </c>
      <c r="E21" s="43" t="s">
        <v>72</v>
      </c>
      <c r="F21" s="134" t="s">
        <v>19</v>
      </c>
      <c r="G21" s="73" t="s">
        <v>5</v>
      </c>
      <c r="H21" s="73" t="s">
        <v>5</v>
      </c>
      <c r="I21" s="43" t="s">
        <v>80</v>
      </c>
      <c r="J21" s="81" t="s">
        <v>28</v>
      </c>
      <c r="K21" s="62" t="s">
        <v>33</v>
      </c>
      <c r="L21" s="25" t="s">
        <v>90</v>
      </c>
    </row>
    <row r="22" spans="2:15">
      <c r="B22" s="39"/>
      <c r="C22" s="50"/>
      <c r="D22" s="51" t="s">
        <v>79</v>
      </c>
      <c r="E22" s="51" t="s">
        <v>34</v>
      </c>
      <c r="F22" s="135"/>
      <c r="G22" s="74" t="s">
        <v>14</v>
      </c>
      <c r="H22" s="75" t="s">
        <v>0</v>
      </c>
      <c r="I22" s="51" t="s">
        <v>81</v>
      </c>
      <c r="J22" s="79" t="s">
        <v>29</v>
      </c>
      <c r="K22" s="63" t="s">
        <v>89</v>
      </c>
      <c r="L22" s="26" t="s">
        <v>91</v>
      </c>
    </row>
    <row r="23" spans="2:15">
      <c r="B23" s="89"/>
      <c r="C23" s="52" t="s">
        <v>105</v>
      </c>
      <c r="D23" s="49"/>
      <c r="E23" s="49"/>
      <c r="F23" s="49"/>
      <c r="G23" s="76"/>
      <c r="H23" s="76"/>
      <c r="I23" s="114"/>
      <c r="J23" s="80"/>
      <c r="K23" s="64"/>
      <c r="L23" s="27"/>
    </row>
    <row r="24" spans="2:15">
      <c r="B24" s="3" t="s">
        <v>24</v>
      </c>
      <c r="C24" s="70"/>
      <c r="D24" s="56">
        <f>(215600/10)-4820.77</f>
        <v>16739.23</v>
      </c>
      <c r="E24" s="56">
        <v>4820.7700000000004</v>
      </c>
      <c r="F24" s="87">
        <f>D$19/10</f>
        <v>21560</v>
      </c>
      <c r="G24" s="77">
        <f>IFERROR(IF(F24&lt;I24,1,I24/F24),0)</f>
        <v>0.78513450834879406</v>
      </c>
      <c r="H24" s="78">
        <f>IFERROR((D24+E24)/F24,0)</f>
        <v>1</v>
      </c>
      <c r="I24" s="115">
        <f>$J$20</f>
        <v>16927.5</v>
      </c>
      <c r="J24" s="83">
        <f>F24-I24</f>
        <v>4632.5</v>
      </c>
      <c r="K24" s="93"/>
      <c r="L24" s="88"/>
    </row>
    <row r="25" spans="2:15">
      <c r="B25" s="3" t="s">
        <v>24</v>
      </c>
      <c r="C25" s="70"/>
      <c r="D25" s="56"/>
      <c r="E25" s="56"/>
      <c r="F25" s="87">
        <f t="shared" ref="F25:F28" si="0">D$19/10</f>
        <v>21560</v>
      </c>
      <c r="G25" s="77">
        <f t="shared" ref="G25:G38" si="1">IFERROR(IF(F25&lt;I25,1,I25/F25),0)</f>
        <v>0.78513450834879406</v>
      </c>
      <c r="H25" s="78">
        <f t="shared" ref="H25:H36" si="2">IFERROR((D25+E25)/F25,0)</f>
        <v>0</v>
      </c>
      <c r="I25" s="115">
        <f>$J$20</f>
        <v>16927.5</v>
      </c>
      <c r="J25" s="83">
        <f t="shared" ref="J25:J36" si="3">F25-I25</f>
        <v>4632.5</v>
      </c>
      <c r="K25" s="93"/>
      <c r="L25" s="88"/>
    </row>
    <row r="26" spans="2:15">
      <c r="B26" s="3" t="s">
        <v>24</v>
      </c>
      <c r="C26" s="70"/>
      <c r="D26" s="56"/>
      <c r="E26" s="56"/>
      <c r="F26" s="87">
        <f t="shared" si="0"/>
        <v>21560</v>
      </c>
      <c r="G26" s="77">
        <f t="shared" si="1"/>
        <v>0.78513450834879406</v>
      </c>
      <c r="H26" s="78">
        <f t="shared" si="2"/>
        <v>0</v>
      </c>
      <c r="I26" s="115">
        <f>$J$20</f>
        <v>16927.5</v>
      </c>
      <c r="J26" s="83">
        <f t="shared" si="3"/>
        <v>4632.5</v>
      </c>
      <c r="K26" s="93"/>
      <c r="L26" s="88"/>
    </row>
    <row r="27" spans="2:15">
      <c r="B27" s="3" t="s">
        <v>24</v>
      </c>
      <c r="C27" s="70"/>
      <c r="D27" s="56"/>
      <c r="E27" s="56"/>
      <c r="F27" s="87">
        <f t="shared" si="0"/>
        <v>21560</v>
      </c>
      <c r="G27" s="77">
        <f t="shared" si="1"/>
        <v>0.78513450834879406</v>
      </c>
      <c r="H27" s="78">
        <f t="shared" si="2"/>
        <v>0</v>
      </c>
      <c r="I27" s="115">
        <f>$J$20</f>
        <v>16927.5</v>
      </c>
      <c r="J27" s="83">
        <f t="shared" si="3"/>
        <v>4632.5</v>
      </c>
      <c r="K27" s="93"/>
      <c r="L27" s="88"/>
    </row>
    <row r="28" spans="2:15">
      <c r="B28" s="3" t="s">
        <v>24</v>
      </c>
      <c r="D28" s="56"/>
      <c r="E28" s="56">
        <v>5355.88</v>
      </c>
      <c r="F28" s="87">
        <f t="shared" si="0"/>
        <v>21560</v>
      </c>
      <c r="G28" s="77">
        <f t="shared" si="1"/>
        <v>0.78513450834879406</v>
      </c>
      <c r="H28" s="78">
        <f t="shared" si="2"/>
        <v>0.248417439703154</v>
      </c>
      <c r="I28" s="115">
        <f>$J$20</f>
        <v>16927.5</v>
      </c>
      <c r="J28" s="83">
        <f t="shared" si="3"/>
        <v>4632.5</v>
      </c>
      <c r="K28" s="93"/>
      <c r="L28" s="88"/>
    </row>
    <row r="29" spans="2:15">
      <c r="B29" s="117" t="s">
        <v>11</v>
      </c>
      <c r="C29" s="118"/>
      <c r="D29" s="56">
        <f>(21560*1.111)-5355.88</f>
        <v>18597.28</v>
      </c>
      <c r="E29" s="56"/>
      <c r="F29" s="87">
        <f>F$28*1.1111</f>
        <v>23955.315999999999</v>
      </c>
      <c r="G29" s="77">
        <f t="shared" si="1"/>
        <v>0.78514235977239177</v>
      </c>
      <c r="H29" s="78">
        <f t="shared" si="2"/>
        <v>0.77633206758783724</v>
      </c>
      <c r="I29" s="115">
        <f>$K$20</f>
        <v>18808.333333333332</v>
      </c>
      <c r="J29" s="83">
        <f t="shared" si="3"/>
        <v>5146.9826666666668</v>
      </c>
      <c r="K29" s="93"/>
      <c r="L29" s="94"/>
    </row>
    <row r="30" spans="2:15">
      <c r="B30" s="82" t="s">
        <v>12</v>
      </c>
      <c r="C30" s="118"/>
      <c r="D30" s="56"/>
      <c r="E30" s="56"/>
      <c r="F30" s="87">
        <f t="shared" ref="F30:F31" si="4">F$28*1.1111</f>
        <v>23955.315999999999</v>
      </c>
      <c r="G30" s="77">
        <f t="shared" si="1"/>
        <v>0.78514235977239177</v>
      </c>
      <c r="H30" s="78">
        <f t="shared" si="2"/>
        <v>0</v>
      </c>
      <c r="I30" s="115">
        <f>$K$20</f>
        <v>18808.333333333332</v>
      </c>
      <c r="J30" s="83">
        <f t="shared" si="3"/>
        <v>5146.9826666666668</v>
      </c>
      <c r="K30" s="93"/>
      <c r="L30" s="88"/>
      <c r="N30" s="113"/>
      <c r="O30" s="84"/>
    </row>
    <row r="31" spans="2:15">
      <c r="B31" s="82" t="s">
        <v>13</v>
      </c>
      <c r="C31" s="118"/>
      <c r="D31" s="56"/>
      <c r="E31" s="56"/>
      <c r="F31" s="87">
        <f t="shared" si="4"/>
        <v>23955.315999999999</v>
      </c>
      <c r="G31" s="77">
        <f t="shared" si="1"/>
        <v>0.78514235977239177</v>
      </c>
      <c r="H31" s="78">
        <f t="shared" si="2"/>
        <v>0</v>
      </c>
      <c r="I31" s="115">
        <f>$K$20</f>
        <v>18808.333333333332</v>
      </c>
      <c r="J31" s="83">
        <f t="shared" si="3"/>
        <v>5146.9826666666668</v>
      </c>
      <c r="K31" s="93"/>
      <c r="L31" s="88"/>
      <c r="O31" s="84"/>
    </row>
    <row r="32" spans="2:15">
      <c r="B32" s="3" t="s">
        <v>24</v>
      </c>
      <c r="C32" s="70"/>
      <c r="D32" s="56"/>
      <c r="E32" s="56"/>
      <c r="F32" s="87">
        <f>D$20/10</f>
        <v>22000</v>
      </c>
      <c r="G32" s="77">
        <f t="shared" si="1"/>
        <v>0.76943181818181816</v>
      </c>
      <c r="H32" s="78">
        <f t="shared" si="2"/>
        <v>0</v>
      </c>
      <c r="I32" s="115">
        <f>$J$20</f>
        <v>16927.5</v>
      </c>
      <c r="J32" s="83">
        <f t="shared" si="3"/>
        <v>5072.5</v>
      </c>
      <c r="K32" s="93"/>
      <c r="L32" s="88"/>
    </row>
    <row r="33" spans="2:16">
      <c r="B33" s="3" t="s">
        <v>24</v>
      </c>
      <c r="C33" s="70"/>
      <c r="D33" s="56"/>
      <c r="E33" s="56"/>
      <c r="F33" s="87">
        <f t="shared" ref="F33:F36" si="5">D$20/10</f>
        <v>22000</v>
      </c>
      <c r="G33" s="77">
        <f t="shared" si="1"/>
        <v>0.76943181818181816</v>
      </c>
      <c r="H33" s="78">
        <f t="shared" si="2"/>
        <v>0</v>
      </c>
      <c r="I33" s="115">
        <f>$J$20</f>
        <v>16927.5</v>
      </c>
      <c r="J33" s="83">
        <f t="shared" si="3"/>
        <v>5072.5</v>
      </c>
      <c r="K33" s="93"/>
      <c r="L33" s="94"/>
      <c r="M33" s="68"/>
      <c r="O33" s="84"/>
      <c r="P33" s="84"/>
    </row>
    <row r="34" spans="2:16">
      <c r="B34" s="3" t="s">
        <v>24</v>
      </c>
      <c r="C34" s="70"/>
      <c r="D34" s="56"/>
      <c r="E34" s="56"/>
      <c r="F34" s="87">
        <f t="shared" si="5"/>
        <v>22000</v>
      </c>
      <c r="G34" s="77">
        <f t="shared" si="1"/>
        <v>0.76943181818181816</v>
      </c>
      <c r="H34" s="78">
        <f t="shared" si="2"/>
        <v>0</v>
      </c>
      <c r="I34" s="115">
        <f>$J$20</f>
        <v>16927.5</v>
      </c>
      <c r="J34" s="83">
        <f t="shared" si="3"/>
        <v>5072.5</v>
      </c>
      <c r="K34" s="93"/>
      <c r="L34" s="94"/>
      <c r="O34" s="84"/>
      <c r="P34" s="84"/>
    </row>
    <row r="35" spans="2:16">
      <c r="B35" s="3" t="s">
        <v>24</v>
      </c>
      <c r="C35" s="70"/>
      <c r="D35" s="56"/>
      <c r="E35" s="56"/>
      <c r="F35" s="87">
        <f t="shared" si="5"/>
        <v>22000</v>
      </c>
      <c r="G35" s="77">
        <f t="shared" si="1"/>
        <v>0.76943181818181816</v>
      </c>
      <c r="H35" s="78">
        <f t="shared" si="2"/>
        <v>0</v>
      </c>
      <c r="I35" s="115">
        <f>$J$20</f>
        <v>16927.5</v>
      </c>
      <c r="J35" s="83">
        <f t="shared" si="3"/>
        <v>5072.5</v>
      </c>
      <c r="K35" s="93"/>
      <c r="L35" s="94"/>
      <c r="O35" s="84"/>
    </row>
    <row r="36" spans="2:16">
      <c r="B36" s="3" t="s">
        <v>24</v>
      </c>
      <c r="C36" s="70"/>
      <c r="D36" s="56"/>
      <c r="E36" s="56"/>
      <c r="F36" s="87">
        <f t="shared" si="5"/>
        <v>22000</v>
      </c>
      <c r="G36" s="77">
        <f t="shared" si="1"/>
        <v>0.76943181818181816</v>
      </c>
      <c r="H36" s="78">
        <f t="shared" si="2"/>
        <v>0</v>
      </c>
      <c r="I36" s="115">
        <f>$J$20</f>
        <v>16927.5</v>
      </c>
      <c r="J36" s="83">
        <f t="shared" si="3"/>
        <v>5072.5</v>
      </c>
      <c r="K36" s="93"/>
      <c r="L36" s="88"/>
    </row>
    <row r="37" spans="2:16" ht="12" customHeight="1">
      <c r="B37" s="89"/>
      <c r="C37" s="40"/>
      <c r="D37" s="40"/>
      <c r="E37" s="40"/>
      <c r="F37" s="53"/>
      <c r="G37" s="53"/>
      <c r="H37" s="54"/>
      <c r="I37" s="114"/>
      <c r="J37" s="57"/>
      <c r="K37" s="65"/>
      <c r="L37" s="28"/>
    </row>
    <row r="38" spans="2:16">
      <c r="B38" s="89" t="s">
        <v>1</v>
      </c>
      <c r="C38" s="40"/>
      <c r="D38" s="98">
        <f>SUM(D24:D37)</f>
        <v>35336.509999999995</v>
      </c>
      <c r="E38" s="98">
        <f>SUM(E24:E37)</f>
        <v>10176.650000000001</v>
      </c>
      <c r="F38" s="98">
        <f>SUM(F24:F37)</f>
        <v>289665.94799999997</v>
      </c>
      <c r="G38" s="77">
        <f t="shared" si="1"/>
        <v>0.77917339458899748</v>
      </c>
      <c r="H38" s="54"/>
      <c r="I38" s="116">
        <f>SUM(I24:I37)</f>
        <v>225700</v>
      </c>
      <c r="J38" s="97">
        <f>SUM(J24:J36)</f>
        <v>63965.948000000004</v>
      </c>
      <c r="K38" s="107">
        <f t="shared" ref="K38" si="6">IF(F38=0,"",IF(F38&lt;I38,"Not over cap",(D38+E38)/F38*J38-E38))</f>
        <v>-126.13337567217241</v>
      </c>
      <c r="L38" s="106">
        <f>IF(F38&lt;I38,"",IF(D38&gt;I38,"N/A",(D38/G38)-D38-E38))</f>
        <v>-161.88100947506609</v>
      </c>
      <c r="M38" s="91"/>
      <c r="N38" s="91"/>
    </row>
    <row r="39" spans="2:16" ht="19.149999999999999" customHeight="1" thickBot="1">
      <c r="B39" s="112"/>
      <c r="C39" s="58"/>
      <c r="D39" s="59"/>
      <c r="E39" s="59"/>
      <c r="F39" s="59"/>
      <c r="G39" s="59"/>
      <c r="H39" s="60"/>
      <c r="I39" s="111" t="s">
        <v>107</v>
      </c>
      <c r="J39" s="59"/>
      <c r="K39" s="66"/>
      <c r="L39" s="105"/>
    </row>
    <row r="40" spans="2:16" ht="16.5" thickBot="1">
      <c r="B40" s="132" t="s">
        <v>92</v>
      </c>
      <c r="C40" s="58"/>
      <c r="D40" s="58"/>
      <c r="E40" s="58"/>
      <c r="F40" s="59"/>
      <c r="G40" s="59"/>
      <c r="H40" s="60"/>
      <c r="I40" s="59"/>
      <c r="J40" s="59"/>
      <c r="K40" s="67"/>
      <c r="L40" s="29"/>
    </row>
    <row r="42" spans="2:16">
      <c r="B42" s="33" t="s">
        <v>42</v>
      </c>
      <c r="D42" s="91"/>
      <c r="E42" s="91"/>
      <c r="F42" s="91"/>
      <c r="J42" s="91"/>
      <c r="M42" s="128"/>
      <c r="N42" s="128"/>
      <c r="O42" s="128"/>
      <c r="P42" s="128"/>
    </row>
    <row r="43" spans="2:16">
      <c r="C43" s="130">
        <v>11114</v>
      </c>
      <c r="D43" s="33" t="s">
        <v>64</v>
      </c>
      <c r="M43" s="128"/>
      <c r="N43" s="128"/>
      <c r="O43" s="128"/>
      <c r="P43" s="128"/>
    </row>
    <row r="44" spans="2:16">
      <c r="C44" s="130">
        <v>12114</v>
      </c>
      <c r="D44" s="33" t="s">
        <v>65</v>
      </c>
      <c r="F44" s="85"/>
      <c r="H44" s="86"/>
      <c r="M44" s="128"/>
      <c r="N44" s="128"/>
      <c r="O44" s="128"/>
      <c r="P44" s="128"/>
    </row>
    <row r="45" spans="2:16">
      <c r="C45" s="130">
        <v>13114</v>
      </c>
      <c r="D45" s="33" t="s">
        <v>66</v>
      </c>
      <c r="M45" s="128"/>
      <c r="N45" s="128"/>
      <c r="O45" s="128"/>
      <c r="P45" s="128"/>
    </row>
    <row r="46" spans="2:16">
      <c r="C46" s="130"/>
      <c r="M46" s="128"/>
      <c r="N46" s="128"/>
      <c r="O46" s="128"/>
      <c r="P46" s="128"/>
    </row>
    <row r="47" spans="2:16">
      <c r="B47" s="33" t="s">
        <v>43</v>
      </c>
      <c r="C47" s="130"/>
      <c r="M47" s="128"/>
      <c r="N47" s="128"/>
      <c r="O47" s="128"/>
      <c r="P47" s="128"/>
    </row>
    <row r="48" spans="2:16">
      <c r="C48" s="130" t="s">
        <v>44</v>
      </c>
      <c r="D48" s="33" t="s">
        <v>49</v>
      </c>
      <c r="E48" s="33" t="s">
        <v>45</v>
      </c>
      <c r="M48" s="128"/>
      <c r="N48" s="128"/>
      <c r="O48" s="128"/>
      <c r="P48" s="128"/>
    </row>
    <row r="49" spans="2:16">
      <c r="C49" s="130" t="s">
        <v>46</v>
      </c>
      <c r="D49" s="33" t="s">
        <v>47</v>
      </c>
      <c r="E49" s="33" t="s">
        <v>48</v>
      </c>
      <c r="M49" s="128"/>
      <c r="N49" s="128"/>
      <c r="O49" s="128"/>
      <c r="P49" s="128"/>
    </row>
    <row r="50" spans="2:16">
      <c r="C50" s="130" t="s">
        <v>50</v>
      </c>
      <c r="D50" s="33" t="s">
        <v>51</v>
      </c>
      <c r="E50" s="33" t="s">
        <v>52</v>
      </c>
      <c r="M50" s="128"/>
      <c r="N50" s="128"/>
      <c r="O50" s="128"/>
      <c r="P50" s="128"/>
    </row>
    <row r="51" spans="2:16">
      <c r="M51" s="128"/>
      <c r="N51" s="128"/>
      <c r="O51" s="128"/>
      <c r="P51" s="128"/>
    </row>
    <row r="52" spans="2:16">
      <c r="B52" s="33" t="s">
        <v>67</v>
      </c>
      <c r="M52" s="128"/>
      <c r="N52" s="128"/>
      <c r="O52" s="128"/>
      <c r="P52" s="128"/>
    </row>
    <row r="53" spans="2:16">
      <c r="B53" s="130" t="s">
        <v>60</v>
      </c>
      <c r="C53" s="130" t="s">
        <v>53</v>
      </c>
      <c r="D53" s="130" t="s">
        <v>54</v>
      </c>
      <c r="E53" s="130" t="s">
        <v>55</v>
      </c>
      <c r="F53" s="130" t="s">
        <v>56</v>
      </c>
      <c r="G53" s="130" t="s">
        <v>57</v>
      </c>
      <c r="H53" s="130"/>
      <c r="I53" s="130" t="s">
        <v>44</v>
      </c>
      <c r="J53" s="130" t="s">
        <v>58</v>
      </c>
      <c r="K53" s="130" t="s">
        <v>59</v>
      </c>
      <c r="L53" s="130" t="s">
        <v>82</v>
      </c>
      <c r="N53" s="128"/>
      <c r="O53" s="128"/>
      <c r="P53" s="128"/>
    </row>
    <row r="54" spans="2:16">
      <c r="B54" s="131">
        <v>10177</v>
      </c>
      <c r="C54" s="130">
        <v>18400</v>
      </c>
      <c r="D54" s="130" t="s">
        <v>61</v>
      </c>
      <c r="E54" s="130" t="s">
        <v>62</v>
      </c>
      <c r="F54" s="130">
        <v>510000</v>
      </c>
      <c r="G54" s="130">
        <v>19640951</v>
      </c>
      <c r="H54" s="130"/>
      <c r="I54" s="130">
        <v>10000</v>
      </c>
      <c r="J54" s="130">
        <v>11200</v>
      </c>
      <c r="K54" s="130" t="s">
        <v>63</v>
      </c>
      <c r="L54" s="130" t="s">
        <v>83</v>
      </c>
      <c r="N54" s="128"/>
      <c r="O54" s="128"/>
      <c r="P54" s="128"/>
    </row>
    <row r="55" spans="2:16">
      <c r="B55" s="131">
        <f>B54*0.39</f>
        <v>3969.03</v>
      </c>
      <c r="C55" s="130">
        <v>18400</v>
      </c>
      <c r="D55" s="130" t="s">
        <v>61</v>
      </c>
      <c r="E55" s="130" t="s">
        <v>62</v>
      </c>
      <c r="F55" s="130">
        <v>550000</v>
      </c>
      <c r="G55" s="130">
        <v>19640951</v>
      </c>
      <c r="H55" s="130"/>
      <c r="I55" s="130">
        <v>10000</v>
      </c>
      <c r="J55" s="130">
        <v>11200</v>
      </c>
      <c r="K55" s="130" t="s">
        <v>63</v>
      </c>
      <c r="L55" s="130" t="s">
        <v>83</v>
      </c>
      <c r="N55" s="128"/>
      <c r="O55" s="128"/>
      <c r="P55" s="128"/>
    </row>
    <row r="56" spans="2:16">
      <c r="C56" s="33" t="s">
        <v>68</v>
      </c>
      <c r="M56" s="128"/>
      <c r="N56" s="128"/>
      <c r="O56" s="128"/>
      <c r="P56" s="128"/>
    </row>
    <row r="57" spans="2:16">
      <c r="C57" s="33" t="s">
        <v>69</v>
      </c>
      <c r="M57" s="128"/>
      <c r="N57" s="128"/>
      <c r="O57" s="128"/>
      <c r="P57" s="128"/>
    </row>
    <row r="58" spans="2:16">
      <c r="M58" s="128"/>
      <c r="N58" s="128"/>
      <c r="O58" s="128"/>
      <c r="P58" s="128"/>
    </row>
  </sheetData>
  <mergeCells count="1">
    <mergeCell ref="F21:F22"/>
  </mergeCells>
  <phoneticPr fontId="6" type="noConversion"/>
  <pageMargins left="0.25" right="0.25" top="0.75" bottom="0.75" header="0.3" footer="0.3"/>
  <pageSetup scale="89" fitToHeight="0"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7"/>
  <sheetViews>
    <sheetView zoomScale="84" zoomScaleNormal="84" workbookViewId="0">
      <selection activeCell="K38" sqref="K38"/>
    </sheetView>
  </sheetViews>
  <sheetFormatPr defaultColWidth="13" defaultRowHeight="15"/>
  <cols>
    <col min="1" max="1" width="3" style="33" customWidth="1"/>
    <col min="2" max="2" width="17" style="33" customWidth="1"/>
    <col min="3" max="3" width="15" style="33" customWidth="1"/>
    <col min="4" max="4" width="24.28515625" style="33" bestFit="1" customWidth="1"/>
    <col min="5" max="5" width="20.42578125" style="33" bestFit="1" customWidth="1"/>
    <col min="6" max="6" width="13.28515625" style="33" customWidth="1"/>
    <col min="7" max="7" width="8" style="33" hidden="1" customWidth="1"/>
    <col min="8" max="8" width="9" style="33" hidden="1" customWidth="1"/>
    <col min="9" max="9" width="14.28515625" style="33" bestFit="1" customWidth="1"/>
    <col min="10" max="10" width="13.7109375" style="33" customWidth="1"/>
    <col min="11" max="11" width="15" style="33" customWidth="1"/>
    <col min="12" max="12" width="13.28515625" style="33" customWidth="1"/>
    <col min="13" max="13" width="19" style="33" bestFit="1" customWidth="1"/>
    <col min="14" max="14" width="21.5703125" style="33" bestFit="1" customWidth="1"/>
    <col min="15" max="16384" width="13" style="33"/>
  </cols>
  <sheetData>
    <row r="1" spans="1:14">
      <c r="A1" s="32" t="s">
        <v>35</v>
      </c>
      <c r="E1" s="34" t="s">
        <v>2</v>
      </c>
    </row>
    <row r="2" spans="1:14">
      <c r="B2" s="32" t="s">
        <v>70</v>
      </c>
      <c r="E2" s="34"/>
    </row>
    <row r="3" spans="1:14">
      <c r="B3" s="32"/>
      <c r="C3" s="35" t="s">
        <v>41</v>
      </c>
      <c r="E3" s="34"/>
    </row>
    <row r="4" spans="1:14">
      <c r="B4" s="32"/>
      <c r="C4" s="35" t="s">
        <v>84</v>
      </c>
      <c r="E4" s="34"/>
    </row>
    <row r="5" spans="1:14">
      <c r="B5" s="32"/>
      <c r="C5" s="35" t="s">
        <v>103</v>
      </c>
      <c r="E5" s="34"/>
    </row>
    <row r="6" spans="1:14">
      <c r="B6" s="32"/>
      <c r="C6" s="35" t="s">
        <v>86</v>
      </c>
      <c r="E6" s="34"/>
    </row>
    <row r="7" spans="1:14">
      <c r="B7" s="32"/>
      <c r="C7" s="35" t="s">
        <v>78</v>
      </c>
      <c r="E7" s="34"/>
    </row>
    <row r="8" spans="1:14">
      <c r="B8" s="32"/>
      <c r="D8" s="35" t="s">
        <v>75</v>
      </c>
      <c r="E8" s="34"/>
    </row>
    <row r="9" spans="1:14">
      <c r="B9" s="32"/>
      <c r="C9" s="33" t="s">
        <v>40</v>
      </c>
      <c r="E9" s="34"/>
    </row>
    <row r="10" spans="1:14">
      <c r="B10" s="32"/>
      <c r="C10" s="33" t="s">
        <v>73</v>
      </c>
      <c r="E10" s="34"/>
    </row>
    <row r="11" spans="1:14">
      <c r="B11" s="32"/>
      <c r="C11" s="33" t="s">
        <v>74</v>
      </c>
      <c r="E11" s="34"/>
    </row>
    <row r="12" spans="1:14">
      <c r="A12" s="32"/>
      <c r="B12" s="33" t="s">
        <v>95</v>
      </c>
      <c r="E12" s="34"/>
    </row>
    <row r="13" spans="1:14" ht="15.75" thickBot="1">
      <c r="A13" s="32"/>
      <c r="B13" s="35" t="s">
        <v>71</v>
      </c>
      <c r="E13" s="34"/>
    </row>
    <row r="14" spans="1:14">
      <c r="B14" s="110" t="s">
        <v>31</v>
      </c>
      <c r="C14" s="36"/>
      <c r="D14" s="36"/>
      <c r="E14" s="36"/>
      <c r="F14" s="36" t="s">
        <v>23</v>
      </c>
      <c r="G14" s="37"/>
      <c r="H14" s="38"/>
      <c r="I14" s="36"/>
      <c r="J14" s="36"/>
      <c r="K14" s="36"/>
      <c r="L14" s="36"/>
      <c r="M14" s="36"/>
      <c r="N14" s="23"/>
    </row>
    <row r="15" spans="1:14">
      <c r="B15" s="89" t="s">
        <v>3</v>
      </c>
      <c r="C15" s="45"/>
      <c r="D15" s="72"/>
      <c r="E15" s="45"/>
      <c r="F15" s="47"/>
      <c r="G15" s="47"/>
      <c r="H15" s="45"/>
      <c r="I15" s="45"/>
      <c r="J15" s="45"/>
      <c r="K15" s="45"/>
      <c r="L15" s="46"/>
      <c r="M15" s="46"/>
      <c r="N15" s="24"/>
    </row>
    <row r="16" spans="1:14" ht="15.75">
      <c r="B16" s="92" t="s">
        <v>37</v>
      </c>
      <c r="C16" s="45"/>
      <c r="D16" s="72"/>
      <c r="E16" s="45"/>
      <c r="F16" s="47"/>
      <c r="G16" s="47"/>
      <c r="H16" s="47"/>
      <c r="I16" s="47"/>
      <c r="J16" s="47"/>
      <c r="K16" s="47"/>
      <c r="L16" s="47"/>
      <c r="M16" s="47"/>
      <c r="N16" s="24"/>
    </row>
    <row r="17" spans="2:14">
      <c r="B17" s="89" t="s">
        <v>39</v>
      </c>
      <c r="C17" s="101" t="s">
        <v>36</v>
      </c>
      <c r="D17" s="99">
        <v>225700</v>
      </c>
      <c r="E17" s="48"/>
      <c r="F17" s="122"/>
      <c r="G17" s="48"/>
      <c r="H17" s="45"/>
      <c r="K17" s="47"/>
      <c r="L17" s="47"/>
      <c r="M17" s="47"/>
      <c r="N17" s="24"/>
    </row>
    <row r="18" spans="2:14">
      <c r="B18" s="89"/>
      <c r="C18" s="109" t="s">
        <v>27</v>
      </c>
      <c r="E18" s="46"/>
      <c r="G18" s="46"/>
      <c r="H18" s="45"/>
      <c r="I18" s="40"/>
      <c r="L18" s="46"/>
      <c r="M18" s="30"/>
      <c r="N18" s="24"/>
    </row>
    <row r="19" spans="2:14">
      <c r="B19" s="89" t="s">
        <v>102</v>
      </c>
      <c r="C19" s="45"/>
      <c r="D19" s="102">
        <v>235000</v>
      </c>
      <c r="E19" s="133" t="s">
        <v>32</v>
      </c>
      <c r="F19" s="40"/>
      <c r="G19" s="46"/>
      <c r="H19" s="45"/>
      <c r="I19" s="46" t="s">
        <v>20</v>
      </c>
      <c r="K19" s="46"/>
      <c r="L19" s="46"/>
      <c r="M19" s="30"/>
      <c r="N19" s="24"/>
    </row>
    <row r="20" spans="2:14">
      <c r="B20" s="89" t="s">
        <v>100</v>
      </c>
      <c r="C20" s="49"/>
      <c r="D20" s="103">
        <v>0.05</v>
      </c>
      <c r="E20" s="108" t="s">
        <v>97</v>
      </c>
      <c r="F20" s="96">
        <f>((D19*(D20+1))+D19)/2</f>
        <v>240875</v>
      </c>
      <c r="G20" s="71"/>
      <c r="I20" s="90">
        <f>D17/12</f>
        <v>18808.333333333332</v>
      </c>
      <c r="K20" s="90"/>
      <c r="L20" s="49"/>
      <c r="M20" s="100"/>
      <c r="N20" s="31"/>
    </row>
    <row r="21" spans="2:14">
      <c r="B21" s="41"/>
      <c r="C21" s="42"/>
      <c r="D21" s="43" t="s">
        <v>72</v>
      </c>
      <c r="E21" s="43" t="s">
        <v>72</v>
      </c>
      <c r="F21" s="134" t="s">
        <v>17</v>
      </c>
      <c r="G21" s="73" t="s">
        <v>5</v>
      </c>
      <c r="H21" s="73" t="s">
        <v>5</v>
      </c>
      <c r="I21" s="43" t="s">
        <v>80</v>
      </c>
      <c r="J21" s="81" t="s">
        <v>15</v>
      </c>
      <c r="K21" s="43" t="s">
        <v>6</v>
      </c>
      <c r="L21" s="44"/>
      <c r="M21" s="62" t="s">
        <v>33</v>
      </c>
      <c r="N21" s="25" t="s">
        <v>90</v>
      </c>
    </row>
    <row r="22" spans="2:14">
      <c r="B22" s="39"/>
      <c r="C22" s="50"/>
      <c r="D22" s="51" t="s">
        <v>79</v>
      </c>
      <c r="E22" s="51" t="s">
        <v>34</v>
      </c>
      <c r="F22" s="135"/>
      <c r="G22" s="74" t="s">
        <v>14</v>
      </c>
      <c r="H22" s="75" t="s">
        <v>0</v>
      </c>
      <c r="I22" s="51" t="s">
        <v>81</v>
      </c>
      <c r="J22" s="79" t="s">
        <v>16</v>
      </c>
      <c r="K22" s="51" t="s">
        <v>7</v>
      </c>
      <c r="L22" s="50"/>
      <c r="M22" s="63" t="s">
        <v>89</v>
      </c>
      <c r="N22" s="26" t="s">
        <v>91</v>
      </c>
    </row>
    <row r="23" spans="2:14">
      <c r="B23" s="89"/>
      <c r="C23" s="52" t="s">
        <v>104</v>
      </c>
      <c r="D23" s="49"/>
      <c r="E23" s="49"/>
      <c r="F23" s="49"/>
      <c r="G23" s="76"/>
      <c r="H23" s="76"/>
      <c r="I23" s="49"/>
      <c r="J23" s="80"/>
      <c r="K23" s="49"/>
      <c r="L23" s="49"/>
      <c r="M23" s="64"/>
      <c r="N23" s="27"/>
    </row>
    <row r="24" spans="2:14">
      <c r="B24" s="3" t="s">
        <v>25</v>
      </c>
      <c r="C24" s="70"/>
      <c r="D24" s="56"/>
      <c r="E24" s="56"/>
      <c r="F24" s="87">
        <f>F$20/12</f>
        <v>20072.916666666668</v>
      </c>
      <c r="G24" s="77">
        <f t="shared" ref="G24:G35" si="0">IFERROR(IF(F24&lt;I24,1,I24/F24),0)</f>
        <v>0.93700051894135949</v>
      </c>
      <c r="H24" s="78">
        <f t="shared" ref="H24:H35" si="1">IFERROR((D24+E24)/F24,0)</f>
        <v>0</v>
      </c>
      <c r="I24" s="90">
        <f t="shared" ref="I24:I35" si="2">$I$20</f>
        <v>18808.333333333332</v>
      </c>
      <c r="J24" s="83">
        <f t="shared" ref="J24:J35" si="3">F24-I24</f>
        <v>1264.5833333333358</v>
      </c>
      <c r="K24" s="90">
        <f t="shared" ref="K24:K35" si="4">IFERROR((D24+E24)*G24,0)</f>
        <v>0</v>
      </c>
      <c r="L24" s="49"/>
      <c r="M24" s="93"/>
      <c r="N24" s="88"/>
    </row>
    <row r="25" spans="2:14">
      <c r="B25" s="3" t="s">
        <v>25</v>
      </c>
      <c r="C25" s="70"/>
      <c r="D25" s="56"/>
      <c r="E25" s="56"/>
      <c r="F25" s="87">
        <f t="shared" ref="F25:F35" si="5">F$20/12</f>
        <v>20072.916666666668</v>
      </c>
      <c r="G25" s="77">
        <f t="shared" si="0"/>
        <v>0.93700051894135949</v>
      </c>
      <c r="H25" s="78">
        <f t="shared" si="1"/>
        <v>0</v>
      </c>
      <c r="I25" s="90">
        <f t="shared" si="2"/>
        <v>18808.333333333332</v>
      </c>
      <c r="J25" s="83">
        <f t="shared" si="3"/>
        <v>1264.5833333333358</v>
      </c>
      <c r="K25" s="90">
        <f t="shared" si="4"/>
        <v>0</v>
      </c>
      <c r="L25" s="49"/>
      <c r="M25" s="93"/>
      <c r="N25" s="88"/>
    </row>
    <row r="26" spans="2:14">
      <c r="B26" s="3" t="s">
        <v>25</v>
      </c>
      <c r="C26" s="70"/>
      <c r="D26" s="56">
        <v>580</v>
      </c>
      <c r="E26" s="56">
        <v>39</v>
      </c>
      <c r="F26" s="87">
        <f t="shared" si="5"/>
        <v>20072.916666666668</v>
      </c>
      <c r="G26" s="77">
        <f t="shared" si="0"/>
        <v>0.93700051894135949</v>
      </c>
      <c r="H26" s="78">
        <f t="shared" si="1"/>
        <v>3.0837571354436946E-2</v>
      </c>
      <c r="I26" s="90">
        <f t="shared" si="2"/>
        <v>18808.333333333332</v>
      </c>
      <c r="J26" s="83">
        <f t="shared" si="3"/>
        <v>1264.5833333333358</v>
      </c>
      <c r="K26" s="90">
        <f t="shared" si="4"/>
        <v>580.00332122470149</v>
      </c>
      <c r="L26" s="49"/>
      <c r="M26" s="93"/>
      <c r="N26" s="88"/>
    </row>
    <row r="27" spans="2:14">
      <c r="B27" s="3" t="s">
        <v>25</v>
      </c>
      <c r="C27" s="70"/>
      <c r="D27" s="56">
        <v>580</v>
      </c>
      <c r="E27" s="56">
        <v>39</v>
      </c>
      <c r="F27" s="87">
        <f t="shared" si="5"/>
        <v>20072.916666666668</v>
      </c>
      <c r="G27" s="77">
        <f t="shared" si="0"/>
        <v>0.93700051894135949</v>
      </c>
      <c r="H27" s="78">
        <f t="shared" si="1"/>
        <v>3.0837571354436946E-2</v>
      </c>
      <c r="I27" s="90">
        <f t="shared" si="2"/>
        <v>18808.333333333332</v>
      </c>
      <c r="J27" s="83">
        <f t="shared" si="3"/>
        <v>1264.5833333333358</v>
      </c>
      <c r="K27" s="90">
        <f t="shared" si="4"/>
        <v>580.00332122470149</v>
      </c>
      <c r="L27" s="49"/>
      <c r="M27" s="93"/>
      <c r="N27" s="88"/>
    </row>
    <row r="28" spans="2:14">
      <c r="B28" s="3" t="s">
        <v>25</v>
      </c>
      <c r="D28" s="56">
        <v>580</v>
      </c>
      <c r="E28" s="56">
        <v>39</v>
      </c>
      <c r="F28" s="87">
        <f t="shared" si="5"/>
        <v>20072.916666666668</v>
      </c>
      <c r="G28" s="77">
        <f t="shared" si="0"/>
        <v>0.93700051894135949</v>
      </c>
      <c r="H28" s="78">
        <f t="shared" si="1"/>
        <v>3.0837571354436946E-2</v>
      </c>
      <c r="I28" s="90">
        <f t="shared" si="2"/>
        <v>18808.333333333332</v>
      </c>
      <c r="J28" s="83">
        <f t="shared" si="3"/>
        <v>1264.5833333333358</v>
      </c>
      <c r="K28" s="90">
        <f t="shared" si="4"/>
        <v>580.00332122470149</v>
      </c>
      <c r="L28" s="49"/>
      <c r="M28" s="93"/>
      <c r="N28" s="88"/>
    </row>
    <row r="29" spans="2:14">
      <c r="B29" s="3" t="s">
        <v>25</v>
      </c>
      <c r="D29" s="56">
        <v>700</v>
      </c>
      <c r="E29" s="56">
        <v>48</v>
      </c>
      <c r="F29" s="87">
        <f t="shared" si="5"/>
        <v>20072.916666666668</v>
      </c>
      <c r="G29" s="77">
        <f t="shared" si="0"/>
        <v>0.93700051894135949</v>
      </c>
      <c r="H29" s="78">
        <f t="shared" si="1"/>
        <v>3.7264141152049818E-2</v>
      </c>
      <c r="I29" s="90">
        <f t="shared" si="2"/>
        <v>18808.333333333332</v>
      </c>
      <c r="J29" s="83">
        <f t="shared" si="3"/>
        <v>1264.5833333333358</v>
      </c>
      <c r="K29" s="90">
        <f t="shared" si="4"/>
        <v>700.87638816813694</v>
      </c>
      <c r="L29" s="49"/>
      <c r="M29" s="93"/>
      <c r="N29" s="88"/>
    </row>
    <row r="30" spans="2:14">
      <c r="B30" s="3" t="s">
        <v>25</v>
      </c>
      <c r="D30" s="56">
        <v>700</v>
      </c>
      <c r="E30" s="56">
        <v>48</v>
      </c>
      <c r="F30" s="87">
        <f t="shared" si="5"/>
        <v>20072.916666666668</v>
      </c>
      <c r="G30" s="77">
        <f t="shared" si="0"/>
        <v>0.93700051894135949</v>
      </c>
      <c r="H30" s="78">
        <f t="shared" si="1"/>
        <v>3.7264141152049818E-2</v>
      </c>
      <c r="I30" s="90">
        <f t="shared" si="2"/>
        <v>18808.333333333332</v>
      </c>
      <c r="J30" s="83">
        <f t="shared" si="3"/>
        <v>1264.5833333333358</v>
      </c>
      <c r="K30" s="90">
        <f t="shared" si="4"/>
        <v>700.87638816813694</v>
      </c>
      <c r="L30" s="49"/>
      <c r="M30" s="93"/>
      <c r="N30" s="88"/>
    </row>
    <row r="31" spans="2:14">
      <c r="B31" s="3" t="s">
        <v>25</v>
      </c>
      <c r="D31" s="56">
        <v>700</v>
      </c>
      <c r="E31" s="56">
        <v>48</v>
      </c>
      <c r="F31" s="87">
        <f t="shared" si="5"/>
        <v>20072.916666666668</v>
      </c>
      <c r="G31" s="77">
        <f t="shared" si="0"/>
        <v>0.93700051894135949</v>
      </c>
      <c r="H31" s="78">
        <f t="shared" si="1"/>
        <v>3.7264141152049818E-2</v>
      </c>
      <c r="I31" s="90">
        <f t="shared" si="2"/>
        <v>18808.333333333332</v>
      </c>
      <c r="J31" s="83">
        <f t="shared" si="3"/>
        <v>1264.5833333333358</v>
      </c>
      <c r="K31" s="90">
        <f t="shared" si="4"/>
        <v>700.87638816813694</v>
      </c>
      <c r="L31" s="49"/>
      <c r="M31" s="93"/>
      <c r="N31" s="88"/>
    </row>
    <row r="32" spans="2:14">
      <c r="B32" s="3" t="s">
        <v>25</v>
      </c>
      <c r="C32" s="70"/>
      <c r="D32" s="56"/>
      <c r="E32" s="56"/>
      <c r="F32" s="87">
        <f t="shared" si="5"/>
        <v>20072.916666666668</v>
      </c>
      <c r="G32" s="77">
        <f t="shared" si="0"/>
        <v>0.93700051894135949</v>
      </c>
      <c r="H32" s="78">
        <f t="shared" si="1"/>
        <v>0</v>
      </c>
      <c r="I32" s="90">
        <f t="shared" si="2"/>
        <v>18808.333333333332</v>
      </c>
      <c r="J32" s="83">
        <f t="shared" si="3"/>
        <v>1264.5833333333358</v>
      </c>
      <c r="K32" s="90">
        <f t="shared" si="4"/>
        <v>0</v>
      </c>
      <c r="L32" s="49"/>
      <c r="M32" s="93"/>
      <c r="N32" s="88"/>
    </row>
    <row r="33" spans="2:16">
      <c r="B33" s="3" t="s">
        <v>25</v>
      </c>
      <c r="C33" s="70"/>
      <c r="D33" s="56"/>
      <c r="E33" s="56"/>
      <c r="F33" s="87">
        <f t="shared" si="5"/>
        <v>20072.916666666668</v>
      </c>
      <c r="G33" s="77">
        <f t="shared" si="0"/>
        <v>0.93700051894135949</v>
      </c>
      <c r="H33" s="78">
        <f t="shared" si="1"/>
        <v>0</v>
      </c>
      <c r="I33" s="90">
        <f t="shared" si="2"/>
        <v>18808.333333333332</v>
      </c>
      <c r="J33" s="83">
        <f t="shared" si="3"/>
        <v>1264.5833333333358</v>
      </c>
      <c r="K33" s="90">
        <f t="shared" si="4"/>
        <v>0</v>
      </c>
      <c r="L33" s="49"/>
      <c r="M33" s="93"/>
      <c r="N33" s="94"/>
      <c r="O33" s="68"/>
    </row>
    <row r="34" spans="2:16">
      <c r="B34" s="3" t="s">
        <v>25</v>
      </c>
      <c r="C34" s="70"/>
      <c r="D34" s="56"/>
      <c r="E34" s="56"/>
      <c r="F34" s="87">
        <f t="shared" si="5"/>
        <v>20072.916666666668</v>
      </c>
      <c r="G34" s="77">
        <f t="shared" si="0"/>
        <v>0.93700051894135949</v>
      </c>
      <c r="H34" s="78">
        <f t="shared" si="1"/>
        <v>0</v>
      </c>
      <c r="I34" s="90">
        <f t="shared" si="2"/>
        <v>18808.333333333332</v>
      </c>
      <c r="J34" s="83">
        <f t="shared" si="3"/>
        <v>1264.5833333333358</v>
      </c>
      <c r="K34" s="90">
        <f t="shared" si="4"/>
        <v>0</v>
      </c>
      <c r="L34" s="49"/>
      <c r="M34" s="93"/>
      <c r="N34" s="94"/>
    </row>
    <row r="35" spans="2:16">
      <c r="B35" s="3" t="s">
        <v>25</v>
      </c>
      <c r="C35" s="70"/>
      <c r="D35" s="56"/>
      <c r="E35" s="56"/>
      <c r="F35" s="87">
        <f t="shared" si="5"/>
        <v>20072.916666666668</v>
      </c>
      <c r="G35" s="77">
        <f t="shared" si="0"/>
        <v>0.93700051894135949</v>
      </c>
      <c r="H35" s="78">
        <f t="shared" si="1"/>
        <v>0</v>
      </c>
      <c r="I35" s="90">
        <f t="shared" si="2"/>
        <v>18808.333333333332</v>
      </c>
      <c r="J35" s="83">
        <f t="shared" si="3"/>
        <v>1264.5833333333358</v>
      </c>
      <c r="K35" s="90">
        <f t="shared" si="4"/>
        <v>0</v>
      </c>
      <c r="L35" s="49"/>
      <c r="M35" s="93"/>
      <c r="N35" s="94"/>
    </row>
    <row r="36" spans="2:16" ht="12" customHeight="1">
      <c r="B36" s="89"/>
      <c r="C36" s="40"/>
      <c r="D36" s="40"/>
      <c r="E36" s="40"/>
      <c r="F36" s="53"/>
      <c r="G36" s="53"/>
      <c r="H36" s="54"/>
      <c r="I36" s="49"/>
      <c r="J36" s="57"/>
      <c r="K36" s="57"/>
      <c r="L36" s="49"/>
      <c r="M36" s="65"/>
      <c r="N36" s="28"/>
    </row>
    <row r="37" spans="2:16" ht="15.75">
      <c r="B37" s="89" t="s">
        <v>1</v>
      </c>
      <c r="C37" s="40"/>
      <c r="D37" s="98">
        <f>SUM(D24:D36)</f>
        <v>3840</v>
      </c>
      <c r="E37" s="98">
        <f>SUM(E24:E36)</f>
        <v>261</v>
      </c>
      <c r="F37" s="98">
        <f>SUM(F24:F35)</f>
        <v>240874.99999999997</v>
      </c>
      <c r="G37" s="77">
        <f>IFERROR(IF(F37&lt;I37,1,I37/F37),0)</f>
        <v>0.93700051894135983</v>
      </c>
      <c r="H37" s="54"/>
      <c r="I37" s="98">
        <f>SUM(I24:I36)</f>
        <v>225700.00000000003</v>
      </c>
      <c r="J37" s="97">
        <f>SUM(J24:J35)</f>
        <v>15175.000000000029</v>
      </c>
      <c r="K37" s="97">
        <f>SUM(K24:K35)</f>
        <v>3842.6391281785154</v>
      </c>
      <c r="L37" s="69" t="s">
        <v>4</v>
      </c>
      <c r="M37" s="107">
        <f t="shared" ref="M37" si="6">IF(F37=0,"",IF(F37&lt;I37,"Not over cap",(D37+E37)/F37*J37-E37))</f>
        <v>-2.6391281785153069</v>
      </c>
      <c r="N37" s="106">
        <f>IF(F37&lt;I37,"",IF(D37&gt;I37,"N/A",(D37/G37)-D37-E37))</f>
        <v>-2.8165706690306251</v>
      </c>
      <c r="O37" s="91"/>
      <c r="P37" s="91"/>
    </row>
    <row r="38" spans="2:16" ht="19.149999999999999" customHeight="1" thickBot="1">
      <c r="B38" s="112" t="s">
        <v>96</v>
      </c>
      <c r="C38" s="58"/>
      <c r="D38" s="59"/>
      <c r="E38" s="59"/>
      <c r="F38" s="59"/>
      <c r="G38" s="59"/>
      <c r="H38" s="60"/>
      <c r="I38" s="59"/>
      <c r="J38" s="59"/>
      <c r="K38" s="111" t="s">
        <v>106</v>
      </c>
      <c r="L38" s="111"/>
      <c r="M38" s="66"/>
      <c r="N38" s="105"/>
    </row>
    <row r="39" spans="2:16" ht="16.5" thickBot="1">
      <c r="B39" s="132" t="s">
        <v>92</v>
      </c>
      <c r="C39" s="58"/>
      <c r="D39" s="58"/>
      <c r="E39" s="58"/>
      <c r="F39" s="59"/>
      <c r="G39" s="59"/>
      <c r="H39" s="60"/>
      <c r="I39" s="59"/>
      <c r="J39" s="59"/>
      <c r="K39" s="61"/>
      <c r="L39" s="61"/>
      <c r="M39" s="67"/>
      <c r="N39" s="127"/>
    </row>
    <row r="41" spans="2:16">
      <c r="B41" s="33" t="s">
        <v>42</v>
      </c>
      <c r="D41" s="91"/>
      <c r="E41" s="91"/>
      <c r="F41" s="91"/>
      <c r="J41" s="91"/>
      <c r="M41" s="128"/>
      <c r="N41" s="128"/>
      <c r="O41" s="128"/>
      <c r="P41" s="128"/>
    </row>
    <row r="42" spans="2:16">
      <c r="C42" s="130">
        <v>11114</v>
      </c>
      <c r="D42" s="33" t="s">
        <v>64</v>
      </c>
      <c r="M42" s="128"/>
      <c r="N42" s="128"/>
      <c r="O42" s="128"/>
      <c r="P42" s="128"/>
    </row>
    <row r="43" spans="2:16">
      <c r="C43" s="130">
        <v>12114</v>
      </c>
      <c r="D43" s="33" t="s">
        <v>65</v>
      </c>
      <c r="F43" s="85"/>
      <c r="H43" s="86"/>
      <c r="M43" s="128"/>
      <c r="N43" s="128"/>
      <c r="O43" s="128"/>
      <c r="P43" s="128"/>
    </row>
    <row r="44" spans="2:16">
      <c r="C44" s="130">
        <v>13114</v>
      </c>
      <c r="D44" s="33" t="s">
        <v>66</v>
      </c>
      <c r="M44" s="128"/>
      <c r="N44" s="128"/>
      <c r="O44" s="128"/>
      <c r="P44" s="128"/>
    </row>
    <row r="45" spans="2:16">
      <c r="C45" s="130"/>
      <c r="M45" s="128"/>
      <c r="N45" s="128"/>
      <c r="O45" s="128"/>
      <c r="P45" s="128"/>
    </row>
    <row r="46" spans="2:16">
      <c r="B46" s="33" t="s">
        <v>43</v>
      </c>
      <c r="C46" s="130"/>
      <c r="M46" s="128"/>
      <c r="N46" s="128"/>
      <c r="O46" s="128"/>
      <c r="P46" s="128"/>
    </row>
    <row r="47" spans="2:16">
      <c r="C47" s="130" t="s">
        <v>44</v>
      </c>
      <c r="D47" s="33" t="s">
        <v>49</v>
      </c>
      <c r="E47" s="33" t="s">
        <v>45</v>
      </c>
      <c r="M47" s="128"/>
      <c r="N47" s="128"/>
      <c r="O47" s="128"/>
      <c r="P47" s="128"/>
    </row>
    <row r="48" spans="2:16">
      <c r="C48" s="130" t="s">
        <v>46</v>
      </c>
      <c r="D48" s="33" t="s">
        <v>47</v>
      </c>
      <c r="E48" s="33" t="s">
        <v>48</v>
      </c>
      <c r="M48" s="128"/>
      <c r="N48" s="128"/>
      <c r="O48" s="128"/>
      <c r="P48" s="128"/>
    </row>
    <row r="49" spans="2:16">
      <c r="C49" s="130" t="s">
        <v>50</v>
      </c>
      <c r="D49" s="33" t="s">
        <v>51</v>
      </c>
      <c r="E49" s="33" t="s">
        <v>52</v>
      </c>
      <c r="M49" s="128"/>
      <c r="N49" s="128"/>
      <c r="O49" s="128"/>
      <c r="P49" s="128"/>
    </row>
    <row r="50" spans="2:16">
      <c r="M50" s="128"/>
      <c r="N50" s="128"/>
      <c r="O50" s="128"/>
      <c r="P50" s="128"/>
    </row>
    <row r="51" spans="2:16">
      <c r="B51" s="33" t="s">
        <v>67</v>
      </c>
      <c r="M51" s="128"/>
      <c r="N51" s="128"/>
      <c r="O51" s="128"/>
      <c r="P51" s="128"/>
    </row>
    <row r="52" spans="2:16">
      <c r="B52" s="130" t="s">
        <v>60</v>
      </c>
      <c r="C52" s="130" t="s">
        <v>53</v>
      </c>
      <c r="D52" s="130" t="s">
        <v>54</v>
      </c>
      <c r="E52" s="130" t="s">
        <v>55</v>
      </c>
      <c r="F52" s="130" t="s">
        <v>56</v>
      </c>
      <c r="G52" s="130" t="s">
        <v>57</v>
      </c>
      <c r="H52" s="130"/>
      <c r="I52" s="130" t="s">
        <v>44</v>
      </c>
      <c r="J52" s="130" t="s">
        <v>58</v>
      </c>
      <c r="K52" s="130" t="s">
        <v>59</v>
      </c>
      <c r="L52" s="130" t="s">
        <v>82</v>
      </c>
      <c r="N52" s="128"/>
      <c r="O52" s="128"/>
      <c r="P52" s="128"/>
    </row>
    <row r="53" spans="2:16">
      <c r="B53" s="131">
        <v>10177</v>
      </c>
      <c r="C53" s="130">
        <v>18400</v>
      </c>
      <c r="D53" s="130" t="s">
        <v>61</v>
      </c>
      <c r="E53" s="130" t="s">
        <v>62</v>
      </c>
      <c r="F53" s="130">
        <v>510000</v>
      </c>
      <c r="G53" s="130">
        <v>19640951</v>
      </c>
      <c r="H53" s="130"/>
      <c r="I53" s="130">
        <v>10000</v>
      </c>
      <c r="J53" s="130">
        <v>11200</v>
      </c>
      <c r="K53" s="130" t="s">
        <v>63</v>
      </c>
      <c r="L53" s="130" t="s">
        <v>83</v>
      </c>
      <c r="N53" s="128"/>
      <c r="O53" s="128"/>
      <c r="P53" s="128"/>
    </row>
    <row r="54" spans="2:16">
      <c r="B54" s="131">
        <f>B53*0.39</f>
        <v>3969.03</v>
      </c>
      <c r="C54" s="130">
        <v>18400</v>
      </c>
      <c r="D54" s="130" t="s">
        <v>61</v>
      </c>
      <c r="E54" s="130" t="s">
        <v>62</v>
      </c>
      <c r="F54" s="130">
        <v>550000</v>
      </c>
      <c r="G54" s="130">
        <v>19640951</v>
      </c>
      <c r="H54" s="130"/>
      <c r="I54" s="130">
        <v>10000</v>
      </c>
      <c r="J54" s="130">
        <v>11200</v>
      </c>
      <c r="K54" s="130" t="s">
        <v>63</v>
      </c>
      <c r="L54" s="130" t="s">
        <v>83</v>
      </c>
      <c r="N54" s="128"/>
      <c r="O54" s="128"/>
      <c r="P54" s="128"/>
    </row>
    <row r="55" spans="2:16">
      <c r="C55" s="33" t="s">
        <v>68</v>
      </c>
      <c r="M55" s="128"/>
      <c r="N55" s="128"/>
      <c r="O55" s="128"/>
      <c r="P55" s="128"/>
    </row>
    <row r="56" spans="2:16">
      <c r="C56" s="33" t="s">
        <v>69</v>
      </c>
      <c r="M56" s="128"/>
      <c r="N56" s="128"/>
      <c r="O56" s="128"/>
      <c r="P56" s="128"/>
    </row>
    <row r="57" spans="2:16">
      <c r="M57" s="128"/>
      <c r="N57" s="128"/>
      <c r="O57" s="128"/>
      <c r="P57" s="128"/>
    </row>
  </sheetData>
  <mergeCells count="1">
    <mergeCell ref="F21:F22"/>
  </mergeCells>
  <pageMargins left="0.25" right="0.25"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7"/>
  <sheetViews>
    <sheetView zoomScale="84" zoomScaleNormal="84" workbookViewId="0">
      <selection activeCell="K38" sqref="K38"/>
    </sheetView>
  </sheetViews>
  <sheetFormatPr defaultColWidth="13" defaultRowHeight="15"/>
  <cols>
    <col min="1" max="1" width="3" style="33" customWidth="1"/>
    <col min="2" max="2" width="17" style="33" customWidth="1"/>
    <col min="3" max="3" width="14.140625" style="33" customWidth="1"/>
    <col min="4" max="4" width="24.28515625" style="33" bestFit="1" customWidth="1"/>
    <col min="5" max="5" width="20.42578125" style="33" bestFit="1" customWidth="1"/>
    <col min="6" max="6" width="14.5703125" style="33" bestFit="1" customWidth="1"/>
    <col min="7" max="7" width="8" style="33" hidden="1" customWidth="1"/>
    <col min="8" max="8" width="9" style="33" hidden="1" customWidth="1"/>
    <col min="9" max="9" width="15.85546875" style="33" bestFit="1" customWidth="1"/>
    <col min="10" max="10" width="13.28515625" style="33" customWidth="1"/>
    <col min="11" max="11" width="16" style="33" bestFit="1" customWidth="1"/>
    <col min="12" max="12" width="13.28515625" style="33" customWidth="1"/>
    <col min="13" max="13" width="19" style="33" bestFit="1" customWidth="1"/>
    <col min="14" max="14" width="21.5703125" style="33" bestFit="1" customWidth="1"/>
    <col min="15" max="16384" width="13" style="33"/>
  </cols>
  <sheetData>
    <row r="1" spans="1:14">
      <c r="A1" s="32" t="s">
        <v>35</v>
      </c>
      <c r="E1" s="34" t="s">
        <v>2</v>
      </c>
    </row>
    <row r="2" spans="1:14">
      <c r="B2" s="32" t="s">
        <v>70</v>
      </c>
      <c r="E2" s="34"/>
    </row>
    <row r="3" spans="1:14">
      <c r="B3" s="32"/>
      <c r="C3" s="35" t="s">
        <v>41</v>
      </c>
      <c r="E3" s="34"/>
    </row>
    <row r="4" spans="1:14">
      <c r="B4" s="32"/>
      <c r="C4" s="35" t="s">
        <v>84</v>
      </c>
      <c r="E4" s="34"/>
    </row>
    <row r="5" spans="1:14">
      <c r="B5" s="32"/>
      <c r="C5" s="35" t="s">
        <v>103</v>
      </c>
      <c r="E5" s="34"/>
    </row>
    <row r="6" spans="1:14">
      <c r="B6" s="32"/>
      <c r="C6" s="35" t="s">
        <v>85</v>
      </c>
      <c r="E6" s="34"/>
    </row>
    <row r="7" spans="1:14">
      <c r="B7" s="32"/>
      <c r="C7" s="35" t="s">
        <v>78</v>
      </c>
      <c r="E7" s="34"/>
    </row>
    <row r="8" spans="1:14">
      <c r="B8" s="32"/>
      <c r="D8" s="35" t="s">
        <v>75</v>
      </c>
      <c r="E8" s="34"/>
    </row>
    <row r="9" spans="1:14">
      <c r="B9" s="32"/>
      <c r="C9" s="33" t="s">
        <v>40</v>
      </c>
      <c r="E9" s="34"/>
    </row>
    <row r="10" spans="1:14">
      <c r="B10" s="32"/>
      <c r="C10" s="33" t="s">
        <v>73</v>
      </c>
      <c r="E10" s="34"/>
    </row>
    <row r="11" spans="1:14">
      <c r="B11" s="32"/>
      <c r="C11" s="33" t="s">
        <v>74</v>
      </c>
      <c r="E11" s="34"/>
    </row>
    <row r="12" spans="1:14">
      <c r="A12" s="32"/>
      <c r="B12" s="35" t="s">
        <v>71</v>
      </c>
      <c r="E12" s="34"/>
    </row>
    <row r="13" spans="1:14" ht="15.75" thickBot="1">
      <c r="A13" s="32"/>
      <c r="B13" s="35"/>
      <c r="E13" s="34"/>
    </row>
    <row r="14" spans="1:14">
      <c r="B14" s="110" t="s">
        <v>31</v>
      </c>
      <c r="C14" s="36"/>
      <c r="D14" s="36"/>
      <c r="E14" s="36"/>
      <c r="F14" s="36" t="s">
        <v>23</v>
      </c>
      <c r="G14" s="37"/>
      <c r="H14" s="38"/>
      <c r="I14" s="36"/>
      <c r="J14" s="36"/>
      <c r="K14" s="36"/>
      <c r="L14" s="36"/>
      <c r="M14" s="36"/>
      <c r="N14" s="23"/>
    </row>
    <row r="15" spans="1:14">
      <c r="B15" s="89" t="s">
        <v>3</v>
      </c>
      <c r="C15" s="45"/>
      <c r="D15" s="72"/>
      <c r="E15" s="45"/>
      <c r="F15" s="47"/>
      <c r="G15" s="47"/>
      <c r="H15" s="45"/>
      <c r="I15" s="45"/>
      <c r="J15" s="45"/>
      <c r="K15" s="45"/>
      <c r="L15" s="46"/>
      <c r="M15" s="46"/>
      <c r="N15" s="24"/>
    </row>
    <row r="16" spans="1:14" ht="15.75">
      <c r="B16" s="92" t="s">
        <v>37</v>
      </c>
      <c r="C16" s="45"/>
      <c r="D16" s="72"/>
      <c r="E16" s="45"/>
      <c r="F16" s="45"/>
      <c r="G16" s="45"/>
      <c r="H16" s="45"/>
      <c r="I16" s="45"/>
      <c r="J16" s="45"/>
      <c r="K16" s="45"/>
      <c r="L16" s="45"/>
      <c r="M16" s="45"/>
      <c r="N16" s="24"/>
    </row>
    <row r="17" spans="2:14">
      <c r="B17" s="89" t="s">
        <v>39</v>
      </c>
      <c r="C17" s="101" t="s">
        <v>36</v>
      </c>
      <c r="D17" s="99">
        <v>225700</v>
      </c>
      <c r="E17" s="48"/>
      <c r="F17" s="122"/>
      <c r="G17" s="48"/>
      <c r="H17" s="45"/>
      <c r="K17" s="48"/>
      <c r="L17" s="48"/>
      <c r="M17" s="48"/>
      <c r="N17" s="24"/>
    </row>
    <row r="18" spans="2:14">
      <c r="B18" s="89"/>
      <c r="C18" s="109" t="s">
        <v>27</v>
      </c>
      <c r="E18" s="46"/>
      <c r="G18" s="46"/>
      <c r="H18" s="45"/>
      <c r="I18" s="40"/>
      <c r="L18" s="46"/>
      <c r="M18" s="30"/>
      <c r="N18" s="24"/>
    </row>
    <row r="19" spans="2:14">
      <c r="B19" s="89" t="s">
        <v>101</v>
      </c>
      <c r="C19" s="45"/>
      <c r="D19" s="104">
        <v>235000</v>
      </c>
      <c r="F19" s="40"/>
      <c r="G19" s="46"/>
      <c r="H19" s="45"/>
      <c r="I19" s="46" t="s">
        <v>20</v>
      </c>
      <c r="K19" s="46"/>
      <c r="L19" s="46"/>
      <c r="M19" s="30"/>
      <c r="N19" s="24"/>
    </row>
    <row r="20" spans="2:14">
      <c r="B20" s="39" t="s">
        <v>99</v>
      </c>
      <c r="C20" s="49"/>
      <c r="D20" s="104">
        <v>241750</v>
      </c>
      <c r="F20" s="40"/>
      <c r="G20" s="71"/>
      <c r="I20" s="90">
        <f>D17/12</f>
        <v>18808.333333333332</v>
      </c>
      <c r="K20" s="90"/>
      <c r="L20" s="49"/>
      <c r="M20" s="100"/>
      <c r="N20" s="31"/>
    </row>
    <row r="21" spans="2:14">
      <c r="B21" s="41"/>
      <c r="C21" s="42"/>
      <c r="D21" s="43" t="s">
        <v>72</v>
      </c>
      <c r="E21" s="43" t="s">
        <v>72</v>
      </c>
      <c r="F21" s="134" t="s">
        <v>19</v>
      </c>
      <c r="G21" s="73" t="s">
        <v>5</v>
      </c>
      <c r="H21" s="73" t="s">
        <v>5</v>
      </c>
      <c r="I21" s="43" t="s">
        <v>80</v>
      </c>
      <c r="J21" s="81" t="s">
        <v>15</v>
      </c>
      <c r="K21" s="43" t="s">
        <v>6</v>
      </c>
      <c r="L21" s="44"/>
      <c r="M21" s="62" t="s">
        <v>33</v>
      </c>
      <c r="N21" s="25" t="s">
        <v>90</v>
      </c>
    </row>
    <row r="22" spans="2:14">
      <c r="B22" s="39"/>
      <c r="C22" s="50"/>
      <c r="D22" s="51" t="s">
        <v>79</v>
      </c>
      <c r="E22" s="51" t="s">
        <v>34</v>
      </c>
      <c r="F22" s="135"/>
      <c r="G22" s="74" t="s">
        <v>14</v>
      </c>
      <c r="H22" s="75" t="s">
        <v>0</v>
      </c>
      <c r="I22" s="51" t="s">
        <v>81</v>
      </c>
      <c r="J22" s="79" t="s">
        <v>16</v>
      </c>
      <c r="K22" s="51" t="s">
        <v>7</v>
      </c>
      <c r="L22" s="50"/>
      <c r="M22" s="63" t="s">
        <v>89</v>
      </c>
      <c r="N22" s="26" t="s">
        <v>91</v>
      </c>
    </row>
    <row r="23" spans="2:14">
      <c r="B23" s="89"/>
      <c r="C23" s="52" t="s">
        <v>104</v>
      </c>
      <c r="D23" s="49"/>
      <c r="E23" s="49"/>
      <c r="F23" s="49"/>
      <c r="G23" s="76"/>
      <c r="H23" s="76"/>
      <c r="I23" s="49"/>
      <c r="J23" s="80"/>
      <c r="K23" s="49"/>
      <c r="L23" s="49"/>
      <c r="M23" s="64"/>
      <c r="N23" s="27"/>
    </row>
    <row r="24" spans="2:14">
      <c r="B24" s="3" t="s">
        <v>25</v>
      </c>
      <c r="C24" s="70"/>
      <c r="D24" s="56"/>
      <c r="E24" s="56"/>
      <c r="F24" s="87">
        <f>D$19/12</f>
        <v>19583.333333333332</v>
      </c>
      <c r="G24" s="77">
        <f t="shared" ref="G24:G35" si="0">IFERROR(IF(F24&lt;I24,1,I24/F24),0)</f>
        <v>0.96042553191489366</v>
      </c>
      <c r="H24" s="78">
        <f t="shared" ref="H24:H35" si="1">IFERROR((D24+E24)/F24,0)</f>
        <v>0</v>
      </c>
      <c r="I24" s="90">
        <f t="shared" ref="I24:I35" si="2">$I$20</f>
        <v>18808.333333333332</v>
      </c>
      <c r="J24" s="83">
        <f t="shared" ref="J24:J35" si="3">F24-I24</f>
        <v>775</v>
      </c>
      <c r="K24" s="90">
        <f t="shared" ref="K24:K35" si="4">IFERROR((D24+E24)*G24,0)</f>
        <v>0</v>
      </c>
      <c r="L24" s="49"/>
      <c r="M24" s="93"/>
      <c r="N24" s="88"/>
    </row>
    <row r="25" spans="2:14">
      <c r="B25" s="3" t="s">
        <v>25</v>
      </c>
      <c r="C25" s="70"/>
      <c r="D25" s="56"/>
      <c r="E25" s="56"/>
      <c r="F25" s="87">
        <f t="shared" ref="F25:F29" si="5">D$19/12</f>
        <v>19583.333333333332</v>
      </c>
      <c r="G25" s="77">
        <f t="shared" si="0"/>
        <v>0.96042553191489366</v>
      </c>
      <c r="H25" s="78">
        <f t="shared" si="1"/>
        <v>0</v>
      </c>
      <c r="I25" s="90">
        <f t="shared" si="2"/>
        <v>18808.333333333332</v>
      </c>
      <c r="J25" s="83">
        <f t="shared" si="3"/>
        <v>775</v>
      </c>
      <c r="K25" s="90">
        <f t="shared" si="4"/>
        <v>0</v>
      </c>
      <c r="L25" s="49"/>
      <c r="M25" s="93"/>
      <c r="N25" s="88"/>
    </row>
    <row r="26" spans="2:14">
      <c r="B26" s="3" t="s">
        <v>25</v>
      </c>
      <c r="C26" s="70"/>
      <c r="D26" s="56">
        <v>580</v>
      </c>
      <c r="E26" s="56">
        <v>39</v>
      </c>
      <c r="F26" s="87">
        <f t="shared" si="5"/>
        <v>19583.333333333332</v>
      </c>
      <c r="G26" s="77">
        <f t="shared" si="0"/>
        <v>0.96042553191489366</v>
      </c>
      <c r="H26" s="78">
        <f t="shared" si="1"/>
        <v>3.1608510638297872E-2</v>
      </c>
      <c r="I26" s="90">
        <f t="shared" si="2"/>
        <v>18808.333333333332</v>
      </c>
      <c r="J26" s="83">
        <f t="shared" si="3"/>
        <v>775</v>
      </c>
      <c r="K26" s="90">
        <f t="shared" si="4"/>
        <v>594.5034042553192</v>
      </c>
      <c r="L26" s="49"/>
      <c r="M26" s="93"/>
      <c r="N26" s="88"/>
    </row>
    <row r="27" spans="2:14">
      <c r="B27" s="3" t="s">
        <v>25</v>
      </c>
      <c r="C27" s="70"/>
      <c r="D27" s="56">
        <v>580</v>
      </c>
      <c r="E27" s="56">
        <v>39</v>
      </c>
      <c r="F27" s="87">
        <f t="shared" si="5"/>
        <v>19583.333333333332</v>
      </c>
      <c r="G27" s="77">
        <f t="shared" si="0"/>
        <v>0.96042553191489366</v>
      </c>
      <c r="H27" s="78">
        <f t="shared" si="1"/>
        <v>3.1608510638297872E-2</v>
      </c>
      <c r="I27" s="90">
        <f t="shared" si="2"/>
        <v>18808.333333333332</v>
      </c>
      <c r="J27" s="83">
        <f t="shared" si="3"/>
        <v>775</v>
      </c>
      <c r="K27" s="90">
        <f t="shared" si="4"/>
        <v>594.5034042553192</v>
      </c>
      <c r="L27" s="49"/>
      <c r="M27" s="93"/>
      <c r="N27" s="88"/>
    </row>
    <row r="28" spans="2:14">
      <c r="B28" s="3" t="s">
        <v>25</v>
      </c>
      <c r="D28" s="56">
        <v>580</v>
      </c>
      <c r="E28" s="56">
        <v>39</v>
      </c>
      <c r="F28" s="87">
        <f t="shared" si="5"/>
        <v>19583.333333333332</v>
      </c>
      <c r="G28" s="77">
        <f t="shared" si="0"/>
        <v>0.96042553191489366</v>
      </c>
      <c r="H28" s="78">
        <f t="shared" si="1"/>
        <v>3.1608510638297872E-2</v>
      </c>
      <c r="I28" s="90">
        <f t="shared" si="2"/>
        <v>18808.333333333332</v>
      </c>
      <c r="J28" s="83">
        <f t="shared" si="3"/>
        <v>775</v>
      </c>
      <c r="K28" s="90">
        <f t="shared" si="4"/>
        <v>594.5034042553192</v>
      </c>
      <c r="L28" s="49"/>
      <c r="M28" s="93"/>
      <c r="N28" s="88"/>
    </row>
    <row r="29" spans="2:14">
      <c r="B29" s="3" t="s">
        <v>25</v>
      </c>
      <c r="D29" s="56">
        <v>700</v>
      </c>
      <c r="E29" s="56">
        <v>48</v>
      </c>
      <c r="F29" s="87">
        <f t="shared" si="5"/>
        <v>19583.333333333332</v>
      </c>
      <c r="G29" s="77">
        <f t="shared" si="0"/>
        <v>0.96042553191489366</v>
      </c>
      <c r="H29" s="78">
        <f t="shared" si="1"/>
        <v>3.8195744680851067E-2</v>
      </c>
      <c r="I29" s="90">
        <f t="shared" si="2"/>
        <v>18808.333333333332</v>
      </c>
      <c r="J29" s="83">
        <f t="shared" si="3"/>
        <v>775</v>
      </c>
      <c r="K29" s="90">
        <f t="shared" si="4"/>
        <v>718.39829787234044</v>
      </c>
      <c r="L29" s="49"/>
      <c r="M29" s="93"/>
      <c r="N29" s="88"/>
    </row>
    <row r="30" spans="2:14">
      <c r="B30" s="3" t="s">
        <v>25</v>
      </c>
      <c r="D30" s="56">
        <v>700</v>
      </c>
      <c r="E30" s="56">
        <v>48</v>
      </c>
      <c r="F30" s="87">
        <f t="shared" ref="F30:F34" si="6">D$20/12</f>
        <v>20145.833333333332</v>
      </c>
      <c r="G30" s="77">
        <f t="shared" si="0"/>
        <v>0.9336091003102378</v>
      </c>
      <c r="H30" s="78">
        <f t="shared" si="1"/>
        <v>3.7129265770423997E-2</v>
      </c>
      <c r="I30" s="90">
        <f t="shared" si="2"/>
        <v>18808.333333333332</v>
      </c>
      <c r="J30" s="83">
        <f t="shared" si="3"/>
        <v>1337.5</v>
      </c>
      <c r="K30" s="90">
        <f t="shared" si="4"/>
        <v>698.33960703205787</v>
      </c>
      <c r="L30" s="49"/>
      <c r="M30" s="93"/>
      <c r="N30" s="88"/>
    </row>
    <row r="31" spans="2:14">
      <c r="B31" s="3" t="s">
        <v>25</v>
      </c>
      <c r="D31" s="56">
        <v>700</v>
      </c>
      <c r="E31" s="56">
        <v>48</v>
      </c>
      <c r="F31" s="87">
        <f t="shared" si="6"/>
        <v>20145.833333333332</v>
      </c>
      <c r="G31" s="77">
        <f t="shared" si="0"/>
        <v>0.9336091003102378</v>
      </c>
      <c r="H31" s="78">
        <f t="shared" si="1"/>
        <v>3.7129265770423997E-2</v>
      </c>
      <c r="I31" s="90">
        <f t="shared" si="2"/>
        <v>18808.333333333332</v>
      </c>
      <c r="J31" s="83">
        <f t="shared" si="3"/>
        <v>1337.5</v>
      </c>
      <c r="K31" s="90">
        <f t="shared" si="4"/>
        <v>698.33960703205787</v>
      </c>
      <c r="L31" s="49"/>
      <c r="M31" s="93"/>
      <c r="N31" s="88"/>
    </row>
    <row r="32" spans="2:14">
      <c r="B32" s="3" t="s">
        <v>25</v>
      </c>
      <c r="C32" s="70"/>
      <c r="D32" s="56"/>
      <c r="E32" s="56"/>
      <c r="F32" s="87">
        <f t="shared" si="6"/>
        <v>20145.833333333332</v>
      </c>
      <c r="G32" s="77">
        <f t="shared" si="0"/>
        <v>0.9336091003102378</v>
      </c>
      <c r="H32" s="78">
        <f t="shared" si="1"/>
        <v>0</v>
      </c>
      <c r="I32" s="90">
        <f t="shared" si="2"/>
        <v>18808.333333333332</v>
      </c>
      <c r="J32" s="83">
        <f t="shared" si="3"/>
        <v>1337.5</v>
      </c>
      <c r="K32" s="90">
        <f t="shared" si="4"/>
        <v>0</v>
      </c>
      <c r="L32" s="49"/>
      <c r="M32" s="93"/>
      <c r="N32" s="88"/>
    </row>
    <row r="33" spans="2:16">
      <c r="B33" s="3" t="s">
        <v>25</v>
      </c>
      <c r="C33" s="70"/>
      <c r="D33" s="56"/>
      <c r="E33" s="56"/>
      <c r="F33" s="87">
        <f t="shared" si="6"/>
        <v>20145.833333333332</v>
      </c>
      <c r="G33" s="77">
        <f t="shared" si="0"/>
        <v>0.9336091003102378</v>
      </c>
      <c r="H33" s="78">
        <f t="shared" si="1"/>
        <v>0</v>
      </c>
      <c r="I33" s="90">
        <f t="shared" si="2"/>
        <v>18808.333333333332</v>
      </c>
      <c r="J33" s="83">
        <f t="shared" si="3"/>
        <v>1337.5</v>
      </c>
      <c r="K33" s="90">
        <f t="shared" si="4"/>
        <v>0</v>
      </c>
      <c r="L33" s="49"/>
      <c r="M33" s="93"/>
      <c r="N33" s="94"/>
      <c r="O33" s="68"/>
    </row>
    <row r="34" spans="2:16">
      <c r="B34" s="3" t="s">
        <v>25</v>
      </c>
      <c r="C34" s="70"/>
      <c r="D34" s="56"/>
      <c r="E34" s="56"/>
      <c r="F34" s="87">
        <f t="shared" si="6"/>
        <v>20145.833333333332</v>
      </c>
      <c r="G34" s="77">
        <f t="shared" si="0"/>
        <v>0.9336091003102378</v>
      </c>
      <c r="H34" s="78">
        <f t="shared" si="1"/>
        <v>0</v>
      </c>
      <c r="I34" s="90">
        <f t="shared" si="2"/>
        <v>18808.333333333332</v>
      </c>
      <c r="J34" s="83">
        <f t="shared" si="3"/>
        <v>1337.5</v>
      </c>
      <c r="K34" s="90">
        <f t="shared" si="4"/>
        <v>0</v>
      </c>
      <c r="L34" s="49"/>
      <c r="M34" s="93"/>
      <c r="N34" s="94"/>
    </row>
    <row r="35" spans="2:16">
      <c r="B35" s="3" t="s">
        <v>25</v>
      </c>
      <c r="C35" s="70"/>
      <c r="D35" s="56"/>
      <c r="E35" s="56"/>
      <c r="F35" s="87">
        <f>D$20/12</f>
        <v>20145.833333333332</v>
      </c>
      <c r="G35" s="77">
        <f t="shared" si="0"/>
        <v>0.9336091003102378</v>
      </c>
      <c r="H35" s="78">
        <f t="shared" si="1"/>
        <v>0</v>
      </c>
      <c r="I35" s="90">
        <f t="shared" si="2"/>
        <v>18808.333333333332</v>
      </c>
      <c r="J35" s="83">
        <f t="shared" si="3"/>
        <v>1337.5</v>
      </c>
      <c r="K35" s="90">
        <f t="shared" si="4"/>
        <v>0</v>
      </c>
      <c r="L35" s="49"/>
      <c r="M35" s="93"/>
      <c r="N35" s="94"/>
    </row>
    <row r="36" spans="2:16" ht="12" customHeight="1">
      <c r="B36" s="89"/>
      <c r="C36" s="40"/>
      <c r="D36" s="40"/>
      <c r="E36" s="40"/>
      <c r="F36" s="53"/>
      <c r="G36" s="53"/>
      <c r="H36" s="54"/>
      <c r="I36" s="49"/>
      <c r="J36" s="57"/>
      <c r="K36" s="57"/>
      <c r="L36" s="49"/>
      <c r="M36" s="65"/>
      <c r="N36" s="28"/>
    </row>
    <row r="37" spans="2:16" ht="15.75">
      <c r="B37" s="89" t="s">
        <v>1</v>
      </c>
      <c r="C37" s="40"/>
      <c r="D37" s="98">
        <f>SUM(D24:D36)</f>
        <v>3840</v>
      </c>
      <c r="E37" s="98">
        <f>SUM(E24:E36)</f>
        <v>261</v>
      </c>
      <c r="F37" s="98">
        <f>SUM(F24:F35)</f>
        <v>238375.00000000003</v>
      </c>
      <c r="G37" s="77">
        <f>IFERROR(IF(F37&lt;I37,1,I37/F37),0)</f>
        <v>0.94682747771368647</v>
      </c>
      <c r="H37" s="54"/>
      <c r="I37" s="98">
        <f>SUM(I24:I36)</f>
        <v>225700.00000000003</v>
      </c>
      <c r="J37" s="97">
        <f>SUM(J24:J35)</f>
        <v>12675</v>
      </c>
      <c r="K37" s="97">
        <f>SUM(K24:K35)</f>
        <v>3898.5877247024137</v>
      </c>
      <c r="L37" s="69" t="s">
        <v>4</v>
      </c>
      <c r="M37" s="107">
        <f t="shared" ref="M37" si="7">IF(F37=0,"",IF(F37&lt;I37,"Not over cap",(D37+E37)/F37*J37-E37))</f>
        <v>-42.939486103828045</v>
      </c>
      <c r="N37" s="106">
        <f>IF(F37&lt;I37,"",IF(D37&gt;I37,"N/A",(D37/G37)-D37-E37))</f>
        <v>-45.350908285334754</v>
      </c>
      <c r="O37" s="91"/>
      <c r="P37" s="91"/>
    </row>
    <row r="38" spans="2:16" ht="19.149999999999999" customHeight="1" thickBot="1">
      <c r="B38" s="112"/>
      <c r="C38" s="58"/>
      <c r="D38" s="59"/>
      <c r="E38" s="59"/>
      <c r="F38" s="59"/>
      <c r="G38" s="59"/>
      <c r="H38" s="60"/>
      <c r="I38" s="59"/>
      <c r="J38" s="59"/>
      <c r="K38" s="111" t="s">
        <v>106</v>
      </c>
      <c r="L38" s="111"/>
      <c r="M38" s="66"/>
      <c r="N38" s="105"/>
    </row>
    <row r="39" spans="2:16" ht="16.5" thickBot="1">
      <c r="B39" s="132" t="s">
        <v>92</v>
      </c>
      <c r="C39" s="58"/>
      <c r="D39" s="58"/>
      <c r="E39" s="58"/>
      <c r="F39" s="59"/>
      <c r="G39" s="59"/>
      <c r="H39" s="60"/>
      <c r="I39" s="59"/>
      <c r="J39" s="59"/>
      <c r="K39" s="61"/>
      <c r="L39" s="61"/>
      <c r="M39" s="67"/>
      <c r="N39" s="127"/>
    </row>
    <row r="41" spans="2:16">
      <c r="B41" s="33" t="s">
        <v>42</v>
      </c>
      <c r="D41" s="91"/>
      <c r="E41" s="91"/>
      <c r="F41" s="91"/>
      <c r="J41" s="91"/>
      <c r="M41" s="128"/>
      <c r="N41" s="128"/>
      <c r="O41" s="128"/>
      <c r="P41" s="128"/>
    </row>
    <row r="42" spans="2:16">
      <c r="C42" s="130">
        <v>11114</v>
      </c>
      <c r="D42" s="33" t="s">
        <v>64</v>
      </c>
      <c r="M42" s="128"/>
      <c r="N42" s="128"/>
      <c r="O42" s="128"/>
      <c r="P42" s="128"/>
    </row>
    <row r="43" spans="2:16">
      <c r="C43" s="130">
        <v>12114</v>
      </c>
      <c r="D43" s="33" t="s">
        <v>65</v>
      </c>
      <c r="F43" s="85"/>
      <c r="H43" s="86"/>
      <c r="M43" s="128"/>
      <c r="N43" s="128"/>
      <c r="O43" s="128"/>
      <c r="P43" s="128"/>
    </row>
    <row r="44" spans="2:16">
      <c r="C44" s="130">
        <v>13114</v>
      </c>
      <c r="D44" s="33" t="s">
        <v>66</v>
      </c>
      <c r="M44" s="128"/>
      <c r="N44" s="128"/>
      <c r="O44" s="128"/>
      <c r="P44" s="128"/>
    </row>
    <row r="45" spans="2:16">
      <c r="C45" s="130"/>
      <c r="M45" s="128"/>
      <c r="N45" s="128"/>
      <c r="O45" s="128"/>
      <c r="P45" s="128"/>
    </row>
    <row r="46" spans="2:16">
      <c r="B46" s="33" t="s">
        <v>43</v>
      </c>
      <c r="C46" s="130"/>
      <c r="M46" s="128"/>
      <c r="N46" s="128"/>
      <c r="O46" s="128"/>
      <c r="P46" s="128"/>
    </row>
    <row r="47" spans="2:16">
      <c r="C47" s="130" t="s">
        <v>44</v>
      </c>
      <c r="D47" s="33" t="s">
        <v>49</v>
      </c>
      <c r="E47" s="33" t="s">
        <v>45</v>
      </c>
      <c r="M47" s="128"/>
      <c r="N47" s="128"/>
      <c r="O47" s="128"/>
      <c r="P47" s="128"/>
    </row>
    <row r="48" spans="2:16">
      <c r="C48" s="130" t="s">
        <v>46</v>
      </c>
      <c r="D48" s="33" t="s">
        <v>47</v>
      </c>
      <c r="E48" s="33" t="s">
        <v>48</v>
      </c>
      <c r="M48" s="128"/>
      <c r="N48" s="128"/>
      <c r="O48" s="128"/>
      <c r="P48" s="128"/>
    </row>
    <row r="49" spans="2:16">
      <c r="C49" s="130" t="s">
        <v>50</v>
      </c>
      <c r="D49" s="33" t="s">
        <v>51</v>
      </c>
      <c r="E49" s="33" t="s">
        <v>52</v>
      </c>
      <c r="M49" s="128"/>
      <c r="N49" s="128"/>
      <c r="O49" s="128"/>
      <c r="P49" s="128"/>
    </row>
    <row r="50" spans="2:16">
      <c r="M50" s="128"/>
      <c r="N50" s="128"/>
      <c r="O50" s="128"/>
      <c r="P50" s="128"/>
    </row>
    <row r="51" spans="2:16">
      <c r="B51" s="33" t="s">
        <v>67</v>
      </c>
      <c r="M51" s="128"/>
      <c r="N51" s="128"/>
      <c r="O51" s="128"/>
      <c r="P51" s="128"/>
    </row>
    <row r="52" spans="2:16">
      <c r="B52" s="130" t="s">
        <v>60</v>
      </c>
      <c r="C52" s="130" t="s">
        <v>53</v>
      </c>
      <c r="D52" s="130" t="s">
        <v>54</v>
      </c>
      <c r="E52" s="130" t="s">
        <v>55</v>
      </c>
      <c r="F52" s="130" t="s">
        <v>56</v>
      </c>
      <c r="G52" s="130" t="s">
        <v>57</v>
      </c>
      <c r="H52" s="130"/>
      <c r="I52" s="130" t="s">
        <v>44</v>
      </c>
      <c r="J52" s="130" t="s">
        <v>58</v>
      </c>
      <c r="K52" s="130" t="s">
        <v>59</v>
      </c>
      <c r="L52" s="130" t="s">
        <v>82</v>
      </c>
      <c r="N52" s="128"/>
      <c r="O52" s="128"/>
      <c r="P52" s="128"/>
    </row>
    <row r="53" spans="2:16">
      <c r="B53" s="131">
        <v>10177</v>
      </c>
      <c r="C53" s="130">
        <v>18400</v>
      </c>
      <c r="D53" s="130" t="s">
        <v>61</v>
      </c>
      <c r="E53" s="130" t="s">
        <v>62</v>
      </c>
      <c r="F53" s="130">
        <v>510000</v>
      </c>
      <c r="G53" s="130">
        <v>19640951</v>
      </c>
      <c r="H53" s="130"/>
      <c r="I53" s="130">
        <v>10000</v>
      </c>
      <c r="J53" s="130">
        <v>11200</v>
      </c>
      <c r="K53" s="130" t="s">
        <v>63</v>
      </c>
      <c r="L53" s="130" t="s">
        <v>83</v>
      </c>
      <c r="N53" s="128"/>
      <c r="O53" s="128"/>
      <c r="P53" s="128"/>
    </row>
    <row r="54" spans="2:16">
      <c r="B54" s="131">
        <f>B53*0.39</f>
        <v>3969.03</v>
      </c>
      <c r="C54" s="130">
        <v>18400</v>
      </c>
      <c r="D54" s="130" t="s">
        <v>61</v>
      </c>
      <c r="E54" s="130" t="s">
        <v>62</v>
      </c>
      <c r="F54" s="130">
        <v>550000</v>
      </c>
      <c r="G54" s="130">
        <v>19640951</v>
      </c>
      <c r="H54" s="130"/>
      <c r="I54" s="130">
        <v>10000</v>
      </c>
      <c r="J54" s="130">
        <v>11200</v>
      </c>
      <c r="K54" s="130" t="s">
        <v>63</v>
      </c>
      <c r="L54" s="130" t="s">
        <v>83</v>
      </c>
      <c r="N54" s="128"/>
      <c r="O54" s="128"/>
      <c r="P54" s="128"/>
    </row>
    <row r="55" spans="2:16">
      <c r="C55" s="33" t="s">
        <v>68</v>
      </c>
      <c r="M55" s="128"/>
      <c r="N55" s="128"/>
      <c r="O55" s="128"/>
      <c r="P55" s="128"/>
    </row>
    <row r="56" spans="2:16">
      <c r="C56" s="33" t="s">
        <v>69</v>
      </c>
      <c r="M56" s="128"/>
      <c r="N56" s="128"/>
      <c r="O56" s="128"/>
      <c r="P56" s="128"/>
    </row>
    <row r="57" spans="2:16">
      <c r="M57" s="128"/>
      <c r="N57" s="128"/>
      <c r="O57" s="128"/>
      <c r="P57" s="128"/>
    </row>
  </sheetData>
  <mergeCells count="1">
    <mergeCell ref="F21:F22"/>
  </mergeCells>
  <pageMargins left="0.25" right="0.25"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CY Academic Estimate</vt:lpstr>
      <vt:lpstr>CY Academic Salary Known</vt:lpstr>
      <vt:lpstr>CY 12mos Employee Estimate</vt:lpstr>
      <vt:lpstr>CY 12mos Employee Salary Known</vt:lpstr>
    </vt:vector>
  </TitlesOfParts>
  <Company>University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R Ray</dc:creator>
  <cp:lastModifiedBy>Bradley James Langford</cp:lastModifiedBy>
  <cp:lastPrinted>2017-08-24T15:07:22Z</cp:lastPrinted>
  <dcterms:created xsi:type="dcterms:W3CDTF">2012-06-07T17:39:09Z</dcterms:created>
  <dcterms:modified xsi:type="dcterms:W3CDTF">2026-02-16T13:56:46Z</dcterms:modified>
</cp:coreProperties>
</file>